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mne točke" sheetId="1" state="visible" r:id="rId3"/>
    <sheet name="Zasnova" sheetId="2" state="visible" r:id="rId4"/>
    <sheet name="Prostori" sheetId="3" state="visible" r:id="rId5"/>
    <sheet name="Skladnost OPN" sheetId="4" state="visible" r:id="rId6"/>
    <sheet name="Odprta vprašanja" sheetId="5" state="visible" r:id="rId7"/>
    <sheet name="Datoteke in viri" sheetId="6" state="visible" r:id="rId8"/>
    <sheet name="Primerjava z IDZ 02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<sst xmlns="http://schemas.openxmlformats.org/spreadsheetml/2006/main" count="414" uniqueCount="287">
  <si>
    <t xml:space="preserve">Parcela 2045/2, k.o. 1982 Šujica: 3D koordinate lomnih točk (D96/TM, SVS2010)</t>
  </si>
  <si>
    <t xml:space="preserve">Točka</t>
  </si>
  <si>
    <t xml:space="preserve">E [m]</t>
  </si>
  <si>
    <t xml:space="preserve">N [m]</t>
  </si>
  <si>
    <t xml:space="preserve">H kataster [m]</t>
  </si>
  <si>
    <t xml:space="preserve">H DMR ARSO [m]</t>
  </si>
  <si>
    <t xml:space="preserve">Δ DMR − kataster [m]</t>
  </si>
  <si>
    <t xml:space="preserve">(zaprtje)</t>
  </si>
  <si>
    <t xml:space="preserve">Površina iz koordinat [m²]</t>
  </si>
  <si>
    <t xml:space="preserve">Površina v katastru [m²]</t>
  </si>
  <si>
    <t xml:space="preserve">Najnižja / najvišja točka [m]</t>
  </si>
  <si>
    <t xml:space="preserve">Višinska razlika [m]</t>
  </si>
  <si>
    <t xml:space="preserve">Vir: GURS, kataster nepremičnin (ipi.eprostor.gov.si), stanje 2. 11. 2026. Višine v katastru so določene s presekom z lidarskim DMV; natančnost položaja ni določena (šifra 99), meja ni urejena. H DMR: ARSO LiDAR DMR 1 m, list TM1_451_105. Modre vrednosti so vhodni podatki.</t>
  </si>
  <si>
    <t xml:space="preserve">Idejna zasnova št. 03: ključni parametri in izračuni</t>
  </si>
  <si>
    <t xml:space="preserve">Parameter</t>
  </si>
  <si>
    <t xml:space="preserve">Vrednost</t>
  </si>
  <si>
    <t xml:space="preserve">Enota</t>
  </si>
  <si>
    <t xml:space="preserve">Opomba</t>
  </si>
  <si>
    <t xml:space="preserve">Globina hiše (S–J)</t>
  </si>
  <si>
    <t xml:space="preserve">m</t>
  </si>
  <si>
    <t xml:space="preserve">vhod; ožja od IDZ 02, znižuje sleme</t>
  </si>
  <si>
    <t xml:space="preserve">Dolžina južne stranice</t>
  </si>
  <si>
    <t xml:space="preserve">izračun iz koordinat; sledi odmiku 4 m</t>
  </si>
  <si>
    <t xml:space="preserve">Dolžina severne stranice</t>
  </si>
  <si>
    <t xml:space="preserve">izračun iz koordinat</t>
  </si>
  <si>
    <t xml:space="preserve">Povprečna dolžina</t>
  </si>
  <si>
    <t xml:space="preserve">tloris je trapez, ni pravokoten</t>
  </si>
  <si>
    <t xml:space="preserve">Razmerje stranic</t>
  </si>
  <si>
    <t xml:space="preserve">OPN: ≥ 1,3; v KE1/KE4 priporočeno 1,5</t>
  </si>
  <si>
    <t xml:space="preserve">Tloris hiše</t>
  </si>
  <si>
    <t xml:space="preserve">m²</t>
  </si>
  <si>
    <t xml:space="preserve">Klet pred hišo (terasa nad njo)</t>
  </si>
  <si>
    <t xml:space="preserve">vhod</t>
  </si>
  <si>
    <t xml:space="preserve">Dolžina južne stranice kleti</t>
  </si>
  <si>
    <t xml:space="preserve">Tloris kleti</t>
  </si>
  <si>
    <t xml:space="preserve">največji obris stavbe, zato osnova za FZ</t>
  </si>
  <si>
    <t xml:space="preserve">Površina parcele (kataster)</t>
  </si>
  <si>
    <t xml:space="preserve">GURS</t>
  </si>
  <si>
    <t xml:space="preserve">Faktor zazidanosti FZ</t>
  </si>
  <si>
    <t xml:space="preserve">OPN SP: ≤ 0,30</t>
  </si>
  <si>
    <t xml:space="preserve">FZ največ</t>
  </si>
  <si>
    <t xml:space="preserve">OPN, 101. člen, SP</t>
  </si>
  <si>
    <t xml:space="preserve">Kota poda mansarde in parkirišča</t>
  </si>
  <si>
    <t xml:space="preserve">m n.v.</t>
  </si>
  <si>
    <t xml:space="preserve">vhod; višina poti pri priključku, ocena iz DMR, potrdi geodet</t>
  </si>
  <si>
    <t xml:space="preserve">Etažna višina pritličja</t>
  </si>
  <si>
    <t xml:space="preserve">vhod; svetla višina okoli 2,60 m</t>
  </si>
  <si>
    <t xml:space="preserve">Kota poda pritličja</t>
  </si>
  <si>
    <t xml:space="preserve">Etažna višina kleti</t>
  </si>
  <si>
    <t xml:space="preserve">vhod; svetla višina okoli 2,50 m, primerno za bivalne prostore</t>
  </si>
  <si>
    <t xml:space="preserve">Kota poda kleti</t>
  </si>
  <si>
    <t xml:space="preserve">Prag kleti nad travnikom</t>
  </si>
  <si>
    <t xml:space="preserve">Kota travnika</t>
  </si>
  <si>
    <t xml:space="preserve">izravnano s škarpo</t>
  </si>
  <si>
    <t xml:space="preserve">Kolenčni zid</t>
  </si>
  <si>
    <t xml:space="preserve">vhod; znižan zaradi omejitve višine</t>
  </si>
  <si>
    <t xml:space="preserve">Strešni sloj</t>
  </si>
  <si>
    <t xml:space="preserve">Naklon strehe</t>
  </si>
  <si>
    <t xml:space="preserve">°</t>
  </si>
  <si>
    <t xml:space="preserve">OPN: 35–45°; spodnja meja</t>
  </si>
  <si>
    <t xml:space="preserve">Kota slemena</t>
  </si>
  <si>
    <t xml:space="preserve">Višina nad parkiriščem</t>
  </si>
  <si>
    <t xml:space="preserve">tako se hiša vidi s poti</t>
  </si>
  <si>
    <t xml:space="preserve">Višina od urejenega terena (travnik)</t>
  </si>
  <si>
    <t xml:space="preserve">strožja razlaga, upoštevana v zasnovi</t>
  </si>
  <si>
    <t xml:space="preserve">Raščen teren ob kleti (najnižji)</t>
  </si>
  <si>
    <t xml:space="preserve">DMR ARSO, JZ vogal kleti</t>
  </si>
  <si>
    <t xml:space="preserve">Višina od raščenega terena</t>
  </si>
  <si>
    <t xml:space="preserve">Največja dovoljena višina</t>
  </si>
  <si>
    <t xml:space="preserve">OPN SP; odlok meri od najnižje kote terena ob objektu, teren ni opredeljen</t>
  </si>
  <si>
    <t xml:space="preserve">Rezerva do največje višine</t>
  </si>
  <si>
    <t xml:space="preserve">Višina skladna?</t>
  </si>
  <si>
    <t xml:space="preserve">FZ skladen?</t>
  </si>
  <si>
    <t xml:space="preserve">Površina ravnega travnika</t>
  </si>
  <si>
    <t xml:space="preserve">Površina parkirišča</t>
  </si>
  <si>
    <t xml:space="preserve">izračun iz koordinat; 3 mesta in obračališče</t>
  </si>
  <si>
    <t xml:space="preserve">Poti in zunanje stopnice</t>
  </si>
  <si>
    <t xml:space="preserve">ocena</t>
  </si>
  <si>
    <t xml:space="preserve">Faktor zelenih površin FZP</t>
  </si>
  <si>
    <t xml:space="preserve">upoštevano ≥ 0,20 (predpostavka); travnik šteje kot zelena površina</t>
  </si>
  <si>
    <t xml:space="preserve">Kota police med zidovoma</t>
  </si>
  <si>
    <t xml:space="preserve">vhod; 1,8 m široka zasajena polica</t>
  </si>
  <si>
    <t xml:space="preserve">Spodnji zid: največja višina</t>
  </si>
  <si>
    <t xml:space="preserve">izračun iz DMR, nad raščenim terenom, brez temelja</t>
  </si>
  <si>
    <t xml:space="preserve">Zgornji zid: višina</t>
  </si>
  <si>
    <t xml:space="preserve">Zidova skupaj</t>
  </si>
  <si>
    <t xml:space="preserve">Spodnji zid: dolžina</t>
  </si>
  <si>
    <t xml:space="preserve">kjer je višji od 0,2 m</t>
  </si>
  <si>
    <t xml:space="preserve">Zgornji zid: dolžina</t>
  </si>
  <si>
    <t xml:space="preserve">Lice škarpe skupaj</t>
  </si>
  <si>
    <t xml:space="preserve">izračun iz DMR</t>
  </si>
  <si>
    <t xml:space="preserve">Cena lica, spodnja ocena</t>
  </si>
  <si>
    <t xml:space="preserve">€/m²</t>
  </si>
  <si>
    <t xml:space="preserve">moja groba ocena, ne ponudba; AB s kamnito oblogo</t>
  </si>
  <si>
    <t xml:space="preserve">Cena lica, zgornja ocena</t>
  </si>
  <si>
    <t xml:space="preserve">moja groba ocena, ne ponudba</t>
  </si>
  <si>
    <t xml:space="preserve">Škarpa, spodnja ocena</t>
  </si>
  <si>
    <t xml:space="preserve">€</t>
  </si>
  <si>
    <t xml:space="preserve">brez zemeljskih del</t>
  </si>
  <si>
    <t xml:space="preserve">Škarpa, zgornja ocena</t>
  </si>
  <si>
    <t xml:space="preserve">Izkop</t>
  </si>
  <si>
    <t xml:space="preserve">m³</t>
  </si>
  <si>
    <t xml:space="preserve">izračun iz DMR, mreža 0,5 m, z izkopom kleti, raščeno stanje</t>
  </si>
  <si>
    <t xml:space="preserve">Nasip</t>
  </si>
  <si>
    <t xml:space="preserve">izračun iz DMR, mreža 0,5 m</t>
  </si>
  <si>
    <t xml:space="preserve">Presežek zemljine</t>
  </si>
  <si>
    <t xml:space="preserve">brez rahljenja, ki presežek poveča</t>
  </si>
  <si>
    <t xml:space="preserve">Odmik napuščev od meja</t>
  </si>
  <si>
    <t xml:space="preserve">izračun iz koordinat; OPN: 4 m od najbolj izpostavljenih delov</t>
  </si>
  <si>
    <t xml:space="preserve">Odmik spodnjega zidu od meje</t>
  </si>
  <si>
    <t xml:space="preserve">OPN: brez soglasja do meje, ne na sosednje zemljišče</t>
  </si>
  <si>
    <t xml:space="preserve">Modre vrednosti so vhodni podatki iz zasnove ali virov; črne so formule. Višine terena so iz DMR 1 m, zato so količine okvirne.</t>
  </si>
  <si>
    <t xml:space="preserve">Prostori: neto površine (tlorisi niso pravokotni, površine so iz koordinat risbe)</t>
  </si>
  <si>
    <t xml:space="preserve">Etaža</t>
  </si>
  <si>
    <t xml:space="preserve">Prostor</t>
  </si>
  <si>
    <t xml:space="preserve">Neto [m²]</t>
  </si>
  <si>
    <t xml:space="preserve">Uporabno h ≥ 1,6 m [m²]</t>
  </si>
  <si>
    <t xml:space="preserve">Klet</t>
  </si>
  <si>
    <t xml:space="preserve">Družinska soba</t>
  </si>
  <si>
    <t xml:space="preserve">Soba za goste</t>
  </si>
  <si>
    <t xml:space="preserve">Kopalnica</t>
  </si>
  <si>
    <t xml:space="preserve">Shramba</t>
  </si>
  <si>
    <t xml:space="preserve">Vinska klet</t>
  </si>
  <si>
    <t xml:space="preserve">Hodnik, stopnice</t>
  </si>
  <si>
    <t xml:space="preserve">Tehnika</t>
  </si>
  <si>
    <t xml:space="preserve">Skupaj klet</t>
  </si>
  <si>
    <t xml:space="preserve">Pritličje</t>
  </si>
  <si>
    <t xml:space="preserve">Dnevna soba</t>
  </si>
  <si>
    <t xml:space="preserve">Jedilnica</t>
  </si>
  <si>
    <t xml:space="preserve">Kuhinja</t>
  </si>
  <si>
    <t xml:space="preserve">Stopnice</t>
  </si>
  <si>
    <t xml:space="preserve">WC</t>
  </si>
  <si>
    <t xml:space="preserve">Skupaj pritličje</t>
  </si>
  <si>
    <t xml:space="preserve">Mansarda</t>
  </si>
  <si>
    <t xml:space="preserve">Spalnica 1</t>
  </si>
  <si>
    <t xml:space="preserve">Spalnica 2</t>
  </si>
  <si>
    <t xml:space="preserve">Kabinet</t>
  </si>
  <si>
    <t xml:space="preserve">Garderoba</t>
  </si>
  <si>
    <t xml:space="preserve">Vhod, stopnice</t>
  </si>
  <si>
    <t xml:space="preserve">Shramba, WC</t>
  </si>
  <si>
    <t xml:space="preserve">Skupaj mansarda</t>
  </si>
  <si>
    <t xml:space="preserve">Skupaj hiša</t>
  </si>
  <si>
    <t xml:space="preserve">V mansardi šteje del med mejama h = 1,6 m in pod frčadami. Južne sobe v kleti imajo svetlo višino okoli 2,50 m.</t>
  </si>
  <si>
    <t xml:space="preserve">Skladnost s prostorskim načrtom (OPN Dobrova-Polhov Gradec, SP)</t>
  </si>
  <si>
    <t xml:space="preserve">Pogoj</t>
  </si>
  <si>
    <t xml:space="preserve">Zahteva</t>
  </si>
  <si>
    <t xml:space="preserve">Zasnova</t>
  </si>
  <si>
    <t xml:space="preserve">Stanje</t>
  </si>
  <si>
    <t xml:space="preserve">Namenska raba</t>
  </si>
  <si>
    <t xml:space="preserve">SP: dovoljene enostanovanjske stavbe (11100)</t>
  </si>
  <si>
    <t xml:space="preserve">enostanovanjska hiša</t>
  </si>
  <si>
    <t xml:space="preserve">skladno</t>
  </si>
  <si>
    <t xml:space="preserve">≤ 0,30</t>
  </si>
  <si>
    <t xml:space="preserve">Višina objekta</t>
  </si>
  <si>
    <t xml:space="preserve">≤ 9 m, od najnižje kote terena ob objektu do slemena</t>
  </si>
  <si>
    <t xml:space="preserve">Višinski gabarit</t>
  </si>
  <si>
    <t xml:space="preserve">do (K)+P+1+M</t>
  </si>
  <si>
    <t xml:space="preserve">K+P+M; če se klet šteje kot etaža: P+1+M</t>
  </si>
  <si>
    <t xml:space="preserve">Tloris</t>
  </si>
  <si>
    <t xml:space="preserve">podolgovat, ≥ 1 : 1,3 (KE1/KE4 priporočeno 1 : 1,5)</t>
  </si>
  <si>
    <t xml:space="preserve">preveriti</t>
  </si>
  <si>
    <t xml:space="preserve">Umestitev na pobočju</t>
  </si>
  <si>
    <t xml:space="preserve">daljša stranica praviloma vzporedno s plastnicami</t>
  </si>
  <si>
    <t xml:space="preserve">južna in severna stranica V–Z</t>
  </si>
  <si>
    <t xml:space="preserve">Streha</t>
  </si>
  <si>
    <t xml:space="preserve">dvokapnica 35–45°, sleme v smeri daljše stranice, temna kritina</t>
  </si>
  <si>
    <t xml:space="preserve">Frčade</t>
  </si>
  <si>
    <t xml:space="preserve">določil nisem našel</t>
  </si>
  <si>
    <t xml:space="preserve">vhodna na severu, dve na jugu</t>
  </si>
  <si>
    <t xml:space="preserve">Podporni zidovi</t>
  </si>
  <si>
    <t xml:space="preserve">praviloma ≤ 1,5 m, višji s kaskadami; naravna obdelava ali ozelenitev</t>
  </si>
  <si>
    <t xml:space="preserve">Zidovi ob meji</t>
  </si>
  <si>
    <t xml:space="preserve">do meje brez posega na sosednje zemljišče</t>
  </si>
  <si>
    <t xml:space="preserve">Ureditev terena</t>
  </si>
  <si>
    <t xml:space="preserve">na meji prilagojena sosedu, razlike praviloma z brežino; škarpa, kadar druga izvedba ni možna</t>
  </si>
  <si>
    <t xml:space="preserve">na jugu zidovi namesto brežine: utemeljiti</t>
  </si>
  <si>
    <t xml:space="preserve">Zelene površine FZP</t>
  </si>
  <si>
    <t xml:space="preserve">0,20 (predpostavka, preveriti)</t>
  </si>
  <si>
    <t xml:space="preserve">Odmik od meja</t>
  </si>
  <si>
    <t xml:space="preserve">4 m, od najbolj izpostavljenih delov nad terenom</t>
  </si>
  <si>
    <t xml:space="preserve">Odmik od dovozne poti</t>
  </si>
  <si>
    <t xml:space="preserve">pot ni javna cesta; pravilo 5 m je v izseku pri drugi enoti</t>
  </si>
  <si>
    <t xml:space="preserve">4 m; pri 5 m se vzhodna stranica premakne za 1 m</t>
  </si>
  <si>
    <t xml:space="preserve">Dostop do javne ceste</t>
  </si>
  <si>
    <t xml:space="preserve">obvezen, lahko s služnostjo</t>
  </si>
  <si>
    <t xml:space="preserve">priključek prek parcele 2041/28: urediti služnost</t>
  </si>
  <si>
    <t xml:space="preserve">Parkiranje</t>
  </si>
  <si>
    <t xml:space="preserve">zadostno število mest</t>
  </si>
  <si>
    <t xml:space="preserve">Odprta vprašanja in naslednji koraki</t>
  </si>
  <si>
    <t xml:space="preserve">Področje</t>
  </si>
  <si>
    <t xml:space="preserve">Tema</t>
  </si>
  <si>
    <t xml:space="preserve">Opis</t>
  </si>
  <si>
    <t xml:space="preserve">Status</t>
  </si>
  <si>
    <t xml:space="preserve">Pred DGD</t>
  </si>
  <si>
    <t xml:space="preserve">Višina</t>
  </si>
  <si>
    <t xml:space="preserve">Odlok meri "od najnižje kote terena ob objektu" in ne opredeli terena. Zasnova računa od travnika, rezerva je okoli 6 cm. Če velja raščen teren, sta možna kolenčni zid 1,05 m in naklon 40°, kar poveča mansardo za okoli 40 %.</t>
  </si>
  <si>
    <t xml:space="preserve">odprto</t>
  </si>
  <si>
    <t xml:space="preserve">Veljavnost pravil</t>
  </si>
  <si>
    <t xml:space="preserve">Izseki odloka so iz Uradnega lista 25/2019, lokacijska informacija pa navaja še spremembi 134/2020 in 42/2023. Preveriti aktualno besedilo.</t>
  </si>
  <si>
    <t xml:space="preserve">Dostop in priključek</t>
  </si>
  <si>
    <t xml:space="preserve">Pot leži na parceli 2041/28, ki ni javno dobro. Priključek parkirišča prečka pas iste parcele, zato je potrebna služnost. Višino poti pri priključku (okoli 600,0 m) mora potrditi geodetski posnetek, saj so od nje odvisne vse kote.</t>
  </si>
  <si>
    <t xml:space="preserve">Meja parcele</t>
  </si>
  <si>
    <t xml:space="preserve">V katastru ni urejena; potreben geodetski posnetek in priporočljiva ureditev meje.</t>
  </si>
  <si>
    <t xml:space="preserve">Odmiki</t>
  </si>
  <si>
    <t xml:space="preserve">Upoštevano 4 m od vseh meja, merjeno od napuščev. Pravilo 5 m od poti je v izseku zapisano pri drugi enoti urejanja. Pri 5 m se vzhodna stranica premakne za 1 m, klet pa skrajša za okoli 1,4 m.</t>
  </si>
  <si>
    <t xml:space="preserve">Južne sobe imajo svetlo višino okoli 2,50 m. Severni del je v zemlji in namenjen pomožnim prostorom. Preveriti, kako se šteje klet z odprto južno fasado.</t>
  </si>
  <si>
    <t xml:space="preserve">Teren</t>
  </si>
  <si>
    <t xml:space="preserve">Za nasip do 2 m na pobočju je potreben geomehanski elaborat s preveritvijo plazljivosti. Od njega sta odvisna temeljenje in drenaža škarpe.</t>
  </si>
  <si>
    <t xml:space="preserve">Lastništvo</t>
  </si>
  <si>
    <t xml:space="preserve">Zadnji izpis v mapi je iz leta 2021. Preveriti trenutno stanje in pravico graditi. Na parceli je predkupna pravica občine.</t>
  </si>
  <si>
    <t xml:space="preserve">FZP</t>
  </si>
  <si>
    <t xml:space="preserve">Za SP ni nedvoumno določen; upoštevan 0,20.</t>
  </si>
  <si>
    <t xml:space="preserve">Škarpa in izravnava</t>
  </si>
  <si>
    <t xml:space="preserve">Odlok škarpo dovoli, kadar druga izvedba ni možna, in razlike na meji praviloma rešuje z brežino. Izravnavo je treba utemeljiti v IDZ.</t>
  </si>
  <si>
    <t xml:space="preserve">Oblika</t>
  </si>
  <si>
    <t xml:space="preserve">Določil o frčadah nisem našel. Nepravokoten tloris in dolgo južno fasado v krajinskem parku je smiselno zgodaj preveriti pri ZRSVN.</t>
  </si>
  <si>
    <t xml:space="preserve">Mnenja</t>
  </si>
  <si>
    <t xml:space="preserve">Krajinski park Polhograjski Dolomiti (ZRSVN) in vodovarstveno območje kat. 3, del parcele (DRSV).</t>
  </si>
  <si>
    <t xml:space="preserve">Komunala</t>
  </si>
  <si>
    <t xml:space="preserve">Odpadne vode</t>
  </si>
  <si>
    <t xml:space="preserve">Kanalizacije ni; predvidena mala komunalna čistilna naprava (MKČN) pod travnikom v JV delu, gravitacijski odtok iz vseh etaž.</t>
  </si>
  <si>
    <t xml:space="preserve">predlog</t>
  </si>
  <si>
    <t xml:space="preserve">Vodovod, elektrika</t>
  </si>
  <si>
    <t xml:space="preserve">Pridobiti pogoje upravljavcev (vodovod, Elektro Ljubljana).</t>
  </si>
  <si>
    <t xml:space="preserve">Meteorna voda</t>
  </si>
  <si>
    <t xml:space="preserve">Zbiralnik za zalivanje pod travnikom v JZ delu, preliv skladno z vodovarstvenim režimom. Parkirišče odvodnjavati stran od vhoda.</t>
  </si>
  <si>
    <t xml:space="preserve">Obstoječe</t>
  </si>
  <si>
    <t xml:space="preserve">Stavba 1409</t>
  </si>
  <si>
    <t xml:space="preserve">Kmetijska stavba 6 × 5 m (1975, brez priključkov) leži v tlorisu nove hiše, zato je odstranitev nujna.</t>
  </si>
  <si>
    <t xml:space="preserve">Zaporedje</t>
  </si>
  <si>
    <t xml:space="preserve">1. Lokacijska informacija</t>
  </si>
  <si>
    <t xml:space="preserve">Pridobljena 24. 1. 2024; pred vlogo preveriti spremembe prostorskih aktov.</t>
  </si>
  <si>
    <t xml:space="preserve">opravljeno</t>
  </si>
  <si>
    <t xml:space="preserve">2. Geodetski posnetek</t>
  </si>
  <si>
    <t xml:space="preserve">Geodetski posnetek in ureditev meje.</t>
  </si>
  <si>
    <t xml:space="preserve">3. IDZ</t>
  </si>
  <si>
    <t xml:space="preserve">Izbrano zasnovo uskladiti s pooblaščenim arhitektom.</t>
  </si>
  <si>
    <t xml:space="preserve">v delu</t>
  </si>
  <si>
    <t xml:space="preserve">4. DGD</t>
  </si>
  <si>
    <t xml:space="preserve">Projekt za gradbeno dovoljenje in mnenja (elektro, vodovod, ZRSVN, DRSV, občina za cesto).</t>
  </si>
  <si>
    <t xml:space="preserve">5. PZI</t>
  </si>
  <si>
    <t xml:space="preserve">Projekt za izvedbo, popisi, materiali.</t>
  </si>
  <si>
    <t xml:space="preserve">Datoteke (D:\KatarinaLidar\Dokumenti\IdejniNacrti) in viri</t>
  </si>
  <si>
    <t xml:space="preserve">Datoteka</t>
  </si>
  <si>
    <t xml:space="preserve">Katarina_idejna_zasnova_03.html</t>
  </si>
  <si>
    <t xml:space="preserve">interaktivna stran zasnove</t>
  </si>
  <si>
    <t xml:space="preserve">Katarina_idejna_zasnova_03.xlsx</t>
  </si>
  <si>
    <t xml:space="preserve">ta delovni zvezek</t>
  </si>
  <si>
    <t xml:space="preserve">Katarina_idejna_zasnova_03_kote.csv</t>
  </si>
  <si>
    <t xml:space="preserve">vogali hiše, kleti, parkirišča, travnika in škarpe, kote</t>
  </si>
  <si>
    <t xml:space="preserve">Vir</t>
  </si>
  <si>
    <t xml:space="preserve">GURS, kataster nepremičnin (OGC API)</t>
  </si>
  <si>
    <t xml:space="preserve">https://ipi.eprostor.gov.si/wfs-si-gurs-kn/ogc/features/collections</t>
  </si>
  <si>
    <t xml:space="preserve">ARSO LiDAR, list TM1_451_105</t>
  </si>
  <si>
    <t xml:space="preserve">http://gis.arso.gov.si/lidar/dmr1/b_32/D96TM/TM1_451_105.asc</t>
  </si>
  <si>
    <t xml:space="preserve">Lidarski podatki za celotno Slovenijo (gov.si)</t>
  </si>
  <si>
    <t xml:space="preserve">https://www.gov.si/novice/2026-06-03-lidarski-podatki-za-celotno-slovenijo-dostopni-v-pregledovalniku-3d-podatkov/</t>
  </si>
  <si>
    <t xml:space="preserve">LidarSloveniaDataDownloader (mreža listov)</t>
  </si>
  <si>
    <t xml:space="preserve">https://github.com/nejcd/LidarSloveniaDataDownloader</t>
  </si>
  <si>
    <t xml:space="preserve">Lokacijska informacija 3510-0424/2023-2, izseki OPN, SD OPN 2 (2018), SD OPN 3 (2023)</t>
  </si>
  <si>
    <t xml:space="preserve">Uradni list RS 25/2019 (OPN UPB1); uradni-list.si</t>
  </si>
  <si>
    <t xml:space="preserve">Podlage v D:\KatarinaLidar\Dokumenti\ClaudePridobljeniPodatki</t>
  </si>
  <si>
    <t xml:space="preserve">DMR, parcele, stavbe in ortofoto, uporabljeni že v IDZ 01 in 02</t>
  </si>
  <si>
    <t xml:space="preserve">Primerjava zasnov IDZ 02 in IDZ 03</t>
  </si>
  <si>
    <t xml:space="preserve">Lastnost</t>
  </si>
  <si>
    <t xml:space="preserve">IDZ 02</t>
  </si>
  <si>
    <t xml:space="preserve">IDZ 03</t>
  </si>
  <si>
    <t xml:space="preserve">Etaže</t>
  </si>
  <si>
    <t xml:space="preserve">K+P+M</t>
  </si>
  <si>
    <t xml:space="preserve">12,0 × 8,0 m, pravokoten</t>
  </si>
  <si>
    <t xml:space="preserve">enak hiši, 96 m²</t>
  </si>
  <si>
    <t xml:space="preserve">Neto površina</t>
  </si>
  <si>
    <t xml:space="preserve">200 m², od tega 76 m² pomožne kleti</t>
  </si>
  <si>
    <t xml:space="preserve">595,00 m, svetla višina ≈ 2,30 m</t>
  </si>
  <si>
    <t xml:space="preserve">597,60 m</t>
  </si>
  <si>
    <t xml:space="preserve">600,40 m</t>
  </si>
  <si>
    <t xml:space="preserve">Sleme</t>
  </si>
  <si>
    <t xml:space="preserve">603,90 m</t>
  </si>
  <si>
    <t xml:space="preserve">Vstop s parkirišča</t>
  </si>
  <si>
    <t xml:space="preserve">v pritličje, 597,55 m</t>
  </si>
  <si>
    <t xml:space="preserve">2 mesti, 48,8 m²</t>
  </si>
  <si>
    <t xml:space="preserve">Zelenica</t>
  </si>
  <si>
    <t xml:space="preserve">594,92 m, z brežino</t>
  </si>
  <si>
    <t xml:space="preserve">škarpa parkirišča, 10,4 m, do 1,6 m</t>
  </si>
  <si>
    <t xml:space="preserve">Izkop / nasip</t>
  </si>
  <si>
    <t xml:space="preserve">144 / 144 m³ (ocena)</t>
  </si>
  <si>
    <t xml:space="preserve">nujna odstranitev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</si>
</sst>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0.00"/>
    <numFmt numFmtId="167" formatCode="\+0.00;\-0.00;0.00"/>
    <numFmt numFmtId="168" formatCode="#,##0.0"/>
    <numFmt numFmtId="169" formatCode="#,##0"/>
    <numFmt numFmtId="170" formatCode="0.0"/>
    <numFmt numFmtId="171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  <font>
      <sz val="9"/>
      <color rgb="FF55615B"/>
      <name val="Arial"/>
      <family val="0"/>
      <charset val="1"/>
    </font>
    <font>
      <sz val="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F5D50"/>
        <bgColor rgb="FF55615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CF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F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15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5D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3" min="2" style="1" width="15"/>
    <col collapsed="false" customWidth="true" hidden="false" outlineLevel="0" max="4" min="4" style="1" width="16"/>
    <col collapsed="false" customWidth="true" hidden="false" outlineLevel="0" max="5" min="5" style="1" width="17"/>
    <col collapsed="false" customWidth="true" hidden="false" outlineLevel="0" max="6" min="6" style="1" width="20"/>
  </cols>
  <sheetData>
    <row r="1" customFormat="false" ht="17.25" hidden="false" customHeight="true" outlineLevel="0" collapsed="false">
      <c r="A1" s="2" t="s">
        <v>0</v>
      </c>
    </row>
    <row r="3" customFormat="false" ht="26.2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customFormat="false" ht="15" hidden="false" customHeight="true" outlineLevel="0" collapsed="false">
      <c r="A4" s="4" t="n">
        <v>22677</v>
      </c>
      <c r="B4" s="5" t="n">
        <v>451319.28</v>
      </c>
      <c r="C4" s="5" t="n">
        <v>105496.9</v>
      </c>
      <c r="D4" s="6" t="n">
        <v>592.09</v>
      </c>
      <c r="E4" s="6" t="n">
        <v>592.15</v>
      </c>
      <c r="F4" s="7" t="n">
        <f aca="false">E4-D4</f>
        <v>0.0599999999999454</v>
      </c>
    </row>
    <row r="5" customFormat="false" ht="15" hidden="false" customHeight="true" outlineLevel="0" collapsed="false">
      <c r="A5" s="4" t="n">
        <v>5635</v>
      </c>
      <c r="B5" s="5" t="n">
        <v>451333.19</v>
      </c>
      <c r="C5" s="5" t="n">
        <v>105496.76</v>
      </c>
      <c r="D5" s="6" t="n">
        <v>592.31</v>
      </c>
      <c r="E5" s="6" t="n">
        <v>592.34</v>
      </c>
      <c r="F5" s="7" t="n">
        <f aca="false">E5-D5</f>
        <v>0.0300000000000864</v>
      </c>
    </row>
    <row r="6" customFormat="false" ht="15" hidden="false" customHeight="true" outlineLevel="0" collapsed="false">
      <c r="A6" s="4" t="n">
        <v>5636</v>
      </c>
      <c r="B6" s="5" t="n">
        <v>451345.43</v>
      </c>
      <c r="C6" s="5" t="n">
        <v>105496.39</v>
      </c>
      <c r="D6" s="6" t="n">
        <v>591.98</v>
      </c>
      <c r="E6" s="6" t="n">
        <v>592.04</v>
      </c>
      <c r="F6" s="7" t="n">
        <f aca="false">E6-D6</f>
        <v>0.0599999999999454</v>
      </c>
    </row>
    <row r="7" customFormat="false" ht="15" hidden="false" customHeight="true" outlineLevel="0" collapsed="false">
      <c r="A7" s="4" t="n">
        <v>22682</v>
      </c>
      <c r="B7" s="5" t="n">
        <v>451345.52</v>
      </c>
      <c r="C7" s="5" t="n">
        <v>105502.17</v>
      </c>
      <c r="D7" s="6" t="n">
        <v>592.88</v>
      </c>
      <c r="E7" s="6" t="n">
        <v>592.99</v>
      </c>
      <c r="F7" s="7" t="n">
        <f aca="false">E7-D7</f>
        <v>0.110000000000014</v>
      </c>
    </row>
    <row r="8" customFormat="false" ht="15" hidden="false" customHeight="true" outlineLevel="0" collapsed="false">
      <c r="A8" s="4" t="n">
        <v>22681</v>
      </c>
      <c r="B8" s="5" t="n">
        <v>451317.08</v>
      </c>
      <c r="C8" s="5" t="n">
        <v>105529.92</v>
      </c>
      <c r="D8" s="6" t="n">
        <v>601.76</v>
      </c>
      <c r="E8" s="6" t="n">
        <v>601.82</v>
      </c>
      <c r="F8" s="7" t="n">
        <f aca="false">E8-D8</f>
        <v>0.0600000000000591</v>
      </c>
    </row>
    <row r="9" customFormat="false" ht="15" hidden="false" customHeight="true" outlineLevel="0" collapsed="false">
      <c r="A9" s="4" t="n">
        <v>22676</v>
      </c>
      <c r="B9" s="5" t="n">
        <v>451307.12</v>
      </c>
      <c r="C9" s="5" t="n">
        <v>105531.2</v>
      </c>
      <c r="D9" s="6" t="n">
        <v>601.76</v>
      </c>
      <c r="E9" s="6" t="n">
        <v>601.91</v>
      </c>
      <c r="F9" s="7" t="n">
        <f aca="false">E9-D9</f>
        <v>0.149999999999977</v>
      </c>
    </row>
    <row r="10" customFormat="false" ht="15" hidden="false" customHeight="true" outlineLevel="0" collapsed="false">
      <c r="A10" s="4" t="n">
        <v>22675</v>
      </c>
      <c r="B10" s="5" t="n">
        <v>451301.06</v>
      </c>
      <c r="C10" s="5" t="n">
        <v>105497.54</v>
      </c>
      <c r="D10" s="6" t="n">
        <v>592.01</v>
      </c>
      <c r="E10" s="6" t="n">
        <v>592.02</v>
      </c>
      <c r="F10" s="7" t="n">
        <f aca="false">E10-D10</f>
        <v>0.00999999999999091</v>
      </c>
    </row>
    <row r="11" customFormat="false" ht="15" hidden="false" customHeight="true" outlineLevel="0" collapsed="false">
      <c r="A11" s="8" t="s">
        <v>7</v>
      </c>
      <c r="B11" s="9" t="n">
        <f aca="false">B4</f>
        <v>451319.28</v>
      </c>
      <c r="C11" s="9" t="n">
        <f aca="false">C4</f>
        <v>105496.9</v>
      </c>
      <c r="D11" s="8"/>
      <c r="E11" s="8"/>
      <c r="F11" s="8"/>
    </row>
    <row r="13" customFormat="false" ht="51.75" hidden="false" customHeight="true" outlineLevel="0" collapsed="false">
      <c r="A13" s="10" t="s">
        <v>8</v>
      </c>
      <c r="B13" s="4"/>
      <c r="C13" s="4"/>
      <c r="D13" s="11" t="n">
        <f aca="false">ABS(SUMPRODUCT(B4:B10,C5:C11)-SUMPRODUCT(B5:B11,C4:C10))/2</f>
        <v>984.512725830078</v>
      </c>
    </row>
    <row r="14" customFormat="false" ht="51.75" hidden="false" customHeight="true" outlineLevel="0" collapsed="false">
      <c r="A14" s="10" t="s">
        <v>9</v>
      </c>
      <c r="B14" s="4"/>
      <c r="C14" s="4"/>
      <c r="D14" s="12" t="n">
        <v>981</v>
      </c>
    </row>
    <row r="15" customFormat="false" ht="39" hidden="false" customHeight="true" outlineLevel="0" collapsed="false">
      <c r="A15" s="10" t="s">
        <v>10</v>
      </c>
      <c r="B15" s="4"/>
      <c r="C15" s="4"/>
      <c r="D15" s="13" t="n">
        <f aca="false">MIN(D4:D10)</f>
        <v>591.98</v>
      </c>
      <c r="E15" s="13" t="n">
        <f aca="false">MAX(D4:D10)</f>
        <v>601.76</v>
      </c>
    </row>
    <row r="16" customFormat="false" ht="39" hidden="false" customHeight="true" outlineLevel="0" collapsed="false">
      <c r="A16" s="10" t="s">
        <v>11</v>
      </c>
      <c r="B16" s="4"/>
      <c r="C16" s="4"/>
      <c r="D16" s="13" t="n">
        <f aca="false">E15-D15</f>
        <v>9.77999999999997</v>
      </c>
    </row>
    <row r="18" customFormat="false" ht="42" hidden="false" customHeight="true" outlineLevel="0" collapsed="false">
      <c r="A18" s="14" t="s">
        <v>12</v>
      </c>
      <c r="B18" s="14"/>
      <c r="C18" s="14"/>
      <c r="D18" s="14"/>
      <c r="E18" s="14"/>
      <c r="F18" s="14"/>
    </row>
  </sheetData>
  <mergeCells count="1">
    <mergeCell ref="A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14"/>
    <col collapsed="false" customWidth="true" hidden="false" outlineLevel="0" max="3" min="3" style="1" width="8"/>
    <col collapsed="false" customWidth="true" hidden="false" outlineLevel="0" max="4" min="4" style="1" width="62"/>
  </cols>
  <sheetData>
    <row r="1" customFormat="false" ht="17.25" hidden="false" customHeight="true" outlineLevel="0" collapsed="false">
      <c r="A1" s="2" t="s">
        <v>13</v>
      </c>
    </row>
    <row r="3" customFormat="false" ht="15" hidden="false" customHeight="true" outlineLevel="0" collapsed="false">
      <c r="A3" s="3" t="s">
        <v>14</v>
      </c>
      <c r="B3" s="3" t="s">
        <v>15</v>
      </c>
      <c r="C3" s="3" t="s">
        <v>16</v>
      </c>
      <c r="D3" s="3" t="s">
        <v>17</v>
      </c>
    </row>
    <row r="4" customFormat="false" ht="15" hidden="false" customHeight="true" outlineLevel="0" collapsed="false">
      <c r="A4" s="15" t="s">
        <v>18</v>
      </c>
      <c r="B4" s="16" t="n">
        <v>6.4</v>
      </c>
      <c r="C4" s="17" t="s">
        <v>19</v>
      </c>
      <c r="D4" s="18" t="s">
        <v>20</v>
      </c>
    </row>
    <row r="5" customFormat="false" ht="15" hidden="false" customHeight="true" outlineLevel="0" collapsed="false">
      <c r="A5" s="15" t="s">
        <v>21</v>
      </c>
      <c r="B5" s="16" t="n">
        <v>17.4</v>
      </c>
      <c r="C5" s="17" t="s">
        <v>19</v>
      </c>
      <c r="D5" s="18" t="s">
        <v>22</v>
      </c>
    </row>
    <row r="6" customFormat="false" ht="15" hidden="false" customHeight="true" outlineLevel="0" collapsed="false">
      <c r="A6" s="15" t="s">
        <v>23</v>
      </c>
      <c r="B6" s="16" t="n">
        <v>9.69</v>
      </c>
      <c r="C6" s="17" t="s">
        <v>19</v>
      </c>
      <c r="D6" s="18" t="s">
        <v>24</v>
      </c>
    </row>
    <row r="7" customFormat="false" ht="15" hidden="false" customHeight="true" outlineLevel="0" collapsed="false">
      <c r="A7" s="15" t="s">
        <v>25</v>
      </c>
      <c r="B7" s="19" t="n">
        <f aca="false">(B5+B6)/2</f>
        <v>13.545</v>
      </c>
      <c r="C7" s="17" t="s">
        <v>19</v>
      </c>
      <c r="D7" s="18" t="s">
        <v>26</v>
      </c>
    </row>
    <row r="8" customFormat="false" ht="15" hidden="false" customHeight="true" outlineLevel="0" collapsed="false">
      <c r="A8" s="15" t="s">
        <v>27</v>
      </c>
      <c r="B8" s="19" t="n">
        <f aca="false">B7/B4</f>
        <v>2.11640625</v>
      </c>
      <c r="C8" s="17"/>
      <c r="D8" s="18" t="s">
        <v>28</v>
      </c>
    </row>
    <row r="9" customFormat="false" ht="15" hidden="false" customHeight="true" outlineLevel="0" collapsed="false">
      <c r="A9" s="15" t="s">
        <v>29</v>
      </c>
      <c r="B9" s="20" t="n">
        <f aca="false">B7*B4</f>
        <v>86.688</v>
      </c>
      <c r="C9" s="17" t="s">
        <v>30</v>
      </c>
      <c r="D9" s="18"/>
    </row>
    <row r="10" customFormat="false" ht="15" hidden="false" customHeight="true" outlineLevel="0" collapsed="false">
      <c r="A10" s="15" t="s">
        <v>31</v>
      </c>
      <c r="B10" s="16" t="n">
        <v>3.2</v>
      </c>
      <c r="C10" s="17" t="s">
        <v>19</v>
      </c>
      <c r="D10" s="18" t="s">
        <v>32</v>
      </c>
    </row>
    <row r="11" customFormat="false" ht="15" hidden="false" customHeight="true" outlineLevel="0" collapsed="false">
      <c r="A11" s="15" t="s">
        <v>33</v>
      </c>
      <c r="B11" s="16" t="n">
        <v>21.26</v>
      </c>
      <c r="C11" s="17" t="s">
        <v>19</v>
      </c>
      <c r="D11" s="18" t="s">
        <v>24</v>
      </c>
    </row>
    <row r="12" customFormat="false" ht="15" hidden="false" customHeight="true" outlineLevel="0" collapsed="false">
      <c r="A12" s="15" t="s">
        <v>34</v>
      </c>
      <c r="B12" s="20" t="n">
        <f aca="false">(B11+B6)/2*(B4+B10)</f>
        <v>148.56</v>
      </c>
      <c r="C12" s="17" t="s">
        <v>30</v>
      </c>
      <c r="D12" s="18" t="s">
        <v>35</v>
      </c>
    </row>
    <row r="13" customFormat="false" ht="15" hidden="false" customHeight="true" outlineLevel="0" collapsed="false">
      <c r="A13" s="15" t="s">
        <v>36</v>
      </c>
      <c r="B13" s="21" t="n">
        <v>981</v>
      </c>
      <c r="C13" s="17" t="s">
        <v>30</v>
      </c>
      <c r="D13" s="18" t="s">
        <v>37</v>
      </c>
    </row>
    <row r="14" customFormat="false" ht="15" hidden="false" customHeight="true" outlineLevel="0" collapsed="false">
      <c r="A14" s="15" t="s">
        <v>38</v>
      </c>
      <c r="B14" s="19" t="n">
        <f aca="false">B12/B13</f>
        <v>0.151437308868502</v>
      </c>
      <c r="C14" s="17"/>
      <c r="D14" s="18" t="s">
        <v>39</v>
      </c>
    </row>
    <row r="15" customFormat="false" ht="15" hidden="false" customHeight="true" outlineLevel="0" collapsed="false">
      <c r="A15" s="15" t="s">
        <v>40</v>
      </c>
      <c r="B15" s="16" t="n">
        <v>0.3</v>
      </c>
      <c r="C15" s="17"/>
      <c r="D15" s="18" t="s">
        <v>41</v>
      </c>
    </row>
    <row r="16" customFormat="false" ht="15" hidden="false" customHeight="true" outlineLevel="0" collapsed="false">
      <c r="A16" s="15" t="s">
        <v>42</v>
      </c>
      <c r="B16" s="16" t="n">
        <v>600</v>
      </c>
      <c r="C16" s="17" t="s">
        <v>43</v>
      </c>
      <c r="D16" s="18" t="s">
        <v>44</v>
      </c>
    </row>
    <row r="17" customFormat="false" ht="15" hidden="false" customHeight="true" outlineLevel="0" collapsed="false">
      <c r="A17" s="15" t="s">
        <v>45</v>
      </c>
      <c r="B17" s="16" t="n">
        <v>2.9</v>
      </c>
      <c r="C17" s="17" t="s">
        <v>19</v>
      </c>
      <c r="D17" s="18" t="s">
        <v>46</v>
      </c>
    </row>
    <row r="18" customFormat="false" ht="15" hidden="false" customHeight="true" outlineLevel="0" collapsed="false">
      <c r="A18" s="15" t="s">
        <v>47</v>
      </c>
      <c r="B18" s="19" t="n">
        <f aca="false">B16-B17</f>
        <v>597.1</v>
      </c>
      <c r="C18" s="17" t="s">
        <v>43</v>
      </c>
      <c r="D18" s="18"/>
    </row>
    <row r="19" customFormat="false" ht="15" hidden="false" customHeight="true" outlineLevel="0" collapsed="false">
      <c r="A19" s="15" t="s">
        <v>48</v>
      </c>
      <c r="B19" s="16" t="n">
        <v>2.8</v>
      </c>
      <c r="C19" s="17" t="s">
        <v>19</v>
      </c>
      <c r="D19" s="18" t="s">
        <v>49</v>
      </c>
    </row>
    <row r="20" customFormat="false" ht="15" hidden="false" customHeight="true" outlineLevel="0" collapsed="false">
      <c r="A20" s="15" t="s">
        <v>50</v>
      </c>
      <c r="B20" s="19" t="n">
        <f aca="false">B18-B19</f>
        <v>594.3</v>
      </c>
      <c r="C20" s="17" t="s">
        <v>43</v>
      </c>
      <c r="D20" s="18"/>
    </row>
    <row r="21" customFormat="false" ht="15" hidden="false" customHeight="true" outlineLevel="0" collapsed="false">
      <c r="A21" s="15" t="s">
        <v>51</v>
      </c>
      <c r="B21" s="16" t="n">
        <v>0.05</v>
      </c>
      <c r="C21" s="17" t="s">
        <v>19</v>
      </c>
      <c r="D21" s="18" t="s">
        <v>32</v>
      </c>
    </row>
    <row r="22" customFormat="false" ht="15" hidden="false" customHeight="true" outlineLevel="0" collapsed="false">
      <c r="A22" s="15" t="s">
        <v>52</v>
      </c>
      <c r="B22" s="19" t="n">
        <f aca="false">B20-B21</f>
        <v>594.25</v>
      </c>
      <c r="C22" s="17" t="s">
        <v>43</v>
      </c>
      <c r="D22" s="18" t="s">
        <v>53</v>
      </c>
    </row>
    <row r="23" customFormat="false" ht="15" hidden="false" customHeight="true" outlineLevel="0" collapsed="false">
      <c r="A23" s="15" t="s">
        <v>54</v>
      </c>
      <c r="B23" s="16" t="n">
        <v>0.6</v>
      </c>
      <c r="C23" s="17" t="s">
        <v>19</v>
      </c>
      <c r="D23" s="18" t="s">
        <v>55</v>
      </c>
    </row>
    <row r="24" customFormat="false" ht="15" hidden="false" customHeight="true" outlineLevel="0" collapsed="false">
      <c r="A24" s="15" t="s">
        <v>56</v>
      </c>
      <c r="B24" s="16" t="n">
        <v>0.35</v>
      </c>
      <c r="C24" s="17" t="s">
        <v>19</v>
      </c>
      <c r="D24" s="18" t="s">
        <v>32</v>
      </c>
    </row>
    <row r="25" customFormat="false" ht="15" hidden="false" customHeight="true" outlineLevel="0" collapsed="false">
      <c r="A25" s="15" t="s">
        <v>57</v>
      </c>
      <c r="B25" s="21" t="n">
        <v>35</v>
      </c>
      <c r="C25" s="17" t="s">
        <v>58</v>
      </c>
      <c r="D25" s="18" t="s">
        <v>59</v>
      </c>
    </row>
    <row r="26" customFormat="false" ht="15" hidden="false" customHeight="true" outlineLevel="0" collapsed="false">
      <c r="A26" s="15" t="s">
        <v>60</v>
      </c>
      <c r="B26" s="19" t="n">
        <f aca="false">B16+B23+B4/2*TAN(RADIANS(B25))+B24</f>
        <v>603.190664122271</v>
      </c>
      <c r="C26" s="17" t="s">
        <v>43</v>
      </c>
      <c r="D26" s="18"/>
    </row>
    <row r="27" customFormat="false" ht="15" hidden="false" customHeight="true" outlineLevel="0" collapsed="false">
      <c r="A27" s="15" t="s">
        <v>61</v>
      </c>
      <c r="B27" s="19" t="n">
        <f aca="false">B26-B16</f>
        <v>3.19066412227107</v>
      </c>
      <c r="C27" s="17" t="s">
        <v>19</v>
      </c>
      <c r="D27" s="18" t="s">
        <v>62</v>
      </c>
    </row>
    <row r="28" customFormat="false" ht="15" hidden="false" customHeight="true" outlineLevel="0" collapsed="false">
      <c r="A28" s="15" t="s">
        <v>63</v>
      </c>
      <c r="B28" s="19" t="n">
        <f aca="false">B26-B22</f>
        <v>8.94066412227096</v>
      </c>
      <c r="C28" s="17" t="s">
        <v>19</v>
      </c>
      <c r="D28" s="18" t="s">
        <v>64</v>
      </c>
    </row>
    <row r="29" customFormat="false" ht="15" hidden="false" customHeight="true" outlineLevel="0" collapsed="false">
      <c r="A29" s="15" t="s">
        <v>65</v>
      </c>
      <c r="B29" s="16" t="n">
        <v>595.12</v>
      </c>
      <c r="C29" s="17" t="s">
        <v>43</v>
      </c>
      <c r="D29" s="18" t="s">
        <v>66</v>
      </c>
    </row>
    <row r="30" customFormat="false" ht="15" hidden="false" customHeight="true" outlineLevel="0" collapsed="false">
      <c r="A30" s="15" t="s">
        <v>67</v>
      </c>
      <c r="B30" s="19" t="n">
        <f aca="false">B26-B29</f>
        <v>8.07066412227107</v>
      </c>
      <c r="C30" s="17" t="s">
        <v>19</v>
      </c>
      <c r="D30" s="18"/>
    </row>
    <row r="31" customFormat="false" ht="15" hidden="false" customHeight="true" outlineLevel="0" collapsed="false">
      <c r="A31" s="15" t="s">
        <v>68</v>
      </c>
      <c r="B31" s="16" t="n">
        <v>9</v>
      </c>
      <c r="C31" s="17" t="s">
        <v>19</v>
      </c>
      <c r="D31" s="18" t="s">
        <v>69</v>
      </c>
    </row>
    <row r="32" customFormat="false" ht="15" hidden="false" customHeight="true" outlineLevel="0" collapsed="false">
      <c r="A32" s="15" t="s">
        <v>70</v>
      </c>
      <c r="B32" s="19" t="n">
        <f aca="false">B31-MAX(B28,B30)</f>
        <v>0.0593358777290405</v>
      </c>
      <c r="C32" s="17" t="s">
        <v>19</v>
      </c>
      <c r="D32" s="18"/>
    </row>
    <row r="33" customFormat="false" ht="15" hidden="false" customHeight="true" outlineLevel="0" collapsed="false">
      <c r="A33" s="15" t="s">
        <v>71</v>
      </c>
      <c r="B33" s="19" t="str">
        <f aca="false">IF(MAX(B28,B30)&lt;=B31,"DA","NE")</f>
        <v>DA</v>
      </c>
      <c r="C33" s="17"/>
      <c r="D33" s="18"/>
    </row>
    <row r="34" customFormat="false" ht="15" hidden="false" customHeight="true" outlineLevel="0" collapsed="false">
      <c r="A34" s="15" t="s">
        <v>72</v>
      </c>
      <c r="B34" s="19" t="str">
        <f aca="false">IF(B14&lt;=B15,"DA","NE")</f>
        <v>DA</v>
      </c>
      <c r="C34" s="17"/>
      <c r="D34" s="18"/>
    </row>
    <row r="35" customFormat="false" ht="15" hidden="false" customHeight="true" outlineLevel="0" collapsed="false">
      <c r="A35" s="15" t="s">
        <v>73</v>
      </c>
      <c r="B35" s="21" t="n">
        <v>424</v>
      </c>
      <c r="C35" s="17" t="s">
        <v>30</v>
      </c>
      <c r="D35" s="18" t="s">
        <v>24</v>
      </c>
    </row>
    <row r="36" customFormat="false" ht="15" hidden="false" customHeight="true" outlineLevel="0" collapsed="false">
      <c r="A36" s="15" t="s">
        <v>74</v>
      </c>
      <c r="B36" s="21" t="n">
        <v>96</v>
      </c>
      <c r="C36" s="17" t="s">
        <v>30</v>
      </c>
      <c r="D36" s="18" t="s">
        <v>75</v>
      </c>
    </row>
    <row r="37" customFormat="false" ht="15" hidden="false" customHeight="true" outlineLevel="0" collapsed="false">
      <c r="A37" s="15" t="s">
        <v>76</v>
      </c>
      <c r="B37" s="21" t="n">
        <v>30</v>
      </c>
      <c r="C37" s="17" t="s">
        <v>30</v>
      </c>
      <c r="D37" s="18" t="s">
        <v>77</v>
      </c>
    </row>
    <row r="38" customFormat="false" ht="15" hidden="false" customHeight="true" outlineLevel="0" collapsed="false">
      <c r="A38" s="15" t="s">
        <v>78</v>
      </c>
      <c r="B38" s="19" t="n">
        <f aca="false">(B13-B12-B36-B37)/B13</f>
        <v>0.720122324159021</v>
      </c>
      <c r="C38" s="17"/>
      <c r="D38" s="18" t="s">
        <v>79</v>
      </c>
    </row>
    <row r="39" customFormat="false" ht="15" hidden="false" customHeight="true" outlineLevel="0" collapsed="false">
      <c r="A39" s="15" t="s">
        <v>80</v>
      </c>
      <c r="B39" s="16" t="n">
        <v>593.2</v>
      </c>
      <c r="C39" s="17" t="s">
        <v>43</v>
      </c>
      <c r="D39" s="18" t="s">
        <v>81</v>
      </c>
    </row>
    <row r="40" customFormat="false" ht="15" hidden="false" customHeight="true" outlineLevel="0" collapsed="false">
      <c r="A40" s="15" t="s">
        <v>82</v>
      </c>
      <c r="B40" s="16" t="n">
        <v>1.32</v>
      </c>
      <c r="C40" s="17" t="s">
        <v>19</v>
      </c>
      <c r="D40" s="18" t="s">
        <v>83</v>
      </c>
    </row>
    <row r="41" customFormat="false" ht="15" hidden="false" customHeight="true" outlineLevel="0" collapsed="false">
      <c r="A41" s="15" t="s">
        <v>84</v>
      </c>
      <c r="B41" s="19" t="n">
        <f aca="false">B22-B39</f>
        <v>1.04999999999995</v>
      </c>
      <c r="C41" s="17" t="s">
        <v>19</v>
      </c>
      <c r="D41" s="18"/>
    </row>
    <row r="42" customFormat="false" ht="15" hidden="false" customHeight="true" outlineLevel="0" collapsed="false">
      <c r="A42" s="15" t="s">
        <v>85</v>
      </c>
      <c r="B42" s="19" t="n">
        <f aca="false">B40+B41</f>
        <v>2.36999999999996</v>
      </c>
      <c r="C42" s="17" t="s">
        <v>19</v>
      </c>
      <c r="D42" s="18"/>
    </row>
    <row r="43" customFormat="false" ht="15" hidden="false" customHeight="true" outlineLevel="0" collapsed="false">
      <c r="A43" s="15" t="s">
        <v>86</v>
      </c>
      <c r="B43" s="22" t="n">
        <v>54</v>
      </c>
      <c r="C43" s="17" t="s">
        <v>19</v>
      </c>
      <c r="D43" s="18" t="s">
        <v>87</v>
      </c>
    </row>
    <row r="44" customFormat="false" ht="15" hidden="false" customHeight="true" outlineLevel="0" collapsed="false">
      <c r="A44" s="15" t="s">
        <v>88</v>
      </c>
      <c r="B44" s="22" t="n">
        <v>55.5</v>
      </c>
      <c r="C44" s="17" t="s">
        <v>19</v>
      </c>
      <c r="D44" s="18" t="s">
        <v>87</v>
      </c>
    </row>
    <row r="45" customFormat="false" ht="15" hidden="false" customHeight="true" outlineLevel="0" collapsed="false">
      <c r="A45" s="15" t="s">
        <v>89</v>
      </c>
      <c r="B45" s="21" t="n">
        <v>101</v>
      </c>
      <c r="C45" s="17" t="s">
        <v>30</v>
      </c>
      <c r="D45" s="18" t="s">
        <v>90</v>
      </c>
    </row>
    <row r="46" customFormat="false" ht="15" hidden="false" customHeight="true" outlineLevel="0" collapsed="false">
      <c r="A46" s="15" t="s">
        <v>91</v>
      </c>
      <c r="B46" s="21" t="n">
        <v>500</v>
      </c>
      <c r="C46" s="17" t="s">
        <v>92</v>
      </c>
      <c r="D46" s="18" t="s">
        <v>93</v>
      </c>
    </row>
    <row r="47" customFormat="false" ht="15" hidden="false" customHeight="true" outlineLevel="0" collapsed="false">
      <c r="A47" s="15" t="s">
        <v>94</v>
      </c>
      <c r="B47" s="21" t="n">
        <v>900</v>
      </c>
      <c r="C47" s="17" t="s">
        <v>92</v>
      </c>
      <c r="D47" s="18" t="s">
        <v>95</v>
      </c>
    </row>
    <row r="48" customFormat="false" ht="15" hidden="false" customHeight="true" outlineLevel="0" collapsed="false">
      <c r="A48" s="15" t="s">
        <v>96</v>
      </c>
      <c r="B48" s="23" t="n">
        <f aca="false">B45*B46</f>
        <v>50500</v>
      </c>
      <c r="C48" s="17" t="s">
        <v>97</v>
      </c>
      <c r="D48" s="18" t="s">
        <v>98</v>
      </c>
    </row>
    <row r="49" customFormat="false" ht="15" hidden="false" customHeight="false" outlineLevel="0" collapsed="false">
      <c r="A49" s="15" t="s">
        <v>99</v>
      </c>
      <c r="B49" s="23" t="n">
        <f aca="false">B45*B47</f>
        <v>90900</v>
      </c>
      <c r="C49" s="17" t="s">
        <v>97</v>
      </c>
      <c r="D49" s="18" t="s">
        <v>98</v>
      </c>
    </row>
    <row r="50" customFormat="false" ht="15" hidden="false" customHeight="true" outlineLevel="0" collapsed="false">
      <c r="A50" s="15" t="s">
        <v>100</v>
      </c>
      <c r="B50" s="21" t="n">
        <v>520</v>
      </c>
      <c r="C50" s="17" t="s">
        <v>101</v>
      </c>
      <c r="D50" s="18" t="s">
        <v>102</v>
      </c>
    </row>
    <row r="51" customFormat="false" ht="15" hidden="false" customHeight="false" outlineLevel="0" collapsed="false">
      <c r="A51" s="15" t="s">
        <v>103</v>
      </c>
      <c r="B51" s="21" t="n">
        <v>438</v>
      </c>
      <c r="C51" s="17" t="s">
        <v>101</v>
      </c>
      <c r="D51" s="18" t="s">
        <v>104</v>
      </c>
    </row>
    <row r="52" customFormat="false" ht="15" hidden="false" customHeight="false" outlineLevel="0" collapsed="false">
      <c r="A52" s="15" t="s">
        <v>105</v>
      </c>
      <c r="B52" s="24" t="n">
        <f aca="false">B50-B51</f>
        <v>82</v>
      </c>
      <c r="C52" s="17" t="s">
        <v>101</v>
      </c>
      <c r="D52" s="18" t="s">
        <v>106</v>
      </c>
    </row>
    <row r="53" customFormat="false" ht="15" hidden="false" customHeight="false" outlineLevel="0" collapsed="false">
      <c r="A53" s="15" t="s">
        <v>107</v>
      </c>
      <c r="B53" s="16" t="n">
        <v>4</v>
      </c>
      <c r="C53" s="17" t="s">
        <v>19</v>
      </c>
      <c r="D53" s="18" t="s">
        <v>108</v>
      </c>
    </row>
    <row r="54" customFormat="false" ht="15" hidden="false" customHeight="false" outlineLevel="0" collapsed="false">
      <c r="A54" s="15" t="s">
        <v>109</v>
      </c>
      <c r="B54" s="16" t="n">
        <v>0.6</v>
      </c>
      <c r="C54" s="17" t="s">
        <v>19</v>
      </c>
      <c r="D54" s="18" t="s">
        <v>110</v>
      </c>
    </row>
    <row r="56" customFormat="false" ht="15" hidden="false" customHeight="false" outlineLevel="0" collapsed="false">
      <c r="A56" s="25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26"/>
    <col collapsed="false" customWidth="true" hidden="false" outlineLevel="0" max="6" min="3" style="1" width="12"/>
    <col collapsed="false" customWidth="true" hidden="false" outlineLevel="0" max="10" min="7" style="1" width="3"/>
  </cols>
  <sheetData>
    <row r="1" customFormat="false" ht="17.25" hidden="false" customHeight="true" outlineLevel="0" collapsed="false">
      <c r="A1" s="2" t="s">
        <v>112</v>
      </c>
    </row>
    <row r="3" customFormat="false" ht="26.25" hidden="false" customHeight="true" outlineLevel="0" collapsed="false">
      <c r="A3" s="3" t="s">
        <v>113</v>
      </c>
      <c r="B3" s="3" t="s">
        <v>114</v>
      </c>
      <c r="C3" s="3" t="s">
        <v>115</v>
      </c>
      <c r="D3" s="3" t="s">
        <v>116</v>
      </c>
    </row>
    <row r="4" customFormat="false" ht="15" hidden="false" customHeight="true" outlineLevel="0" collapsed="false">
      <c r="A4" s="15" t="s">
        <v>117</v>
      </c>
      <c r="B4" s="15" t="s">
        <v>118</v>
      </c>
      <c r="C4" s="22" t="n">
        <v>36.7</v>
      </c>
      <c r="D4" s="22" t="n">
        <v>36.7</v>
      </c>
    </row>
    <row r="5" customFormat="false" ht="15" hidden="false" customHeight="true" outlineLevel="0" collapsed="false">
      <c r="A5" s="15" t="s">
        <v>117</v>
      </c>
      <c r="B5" s="15" t="s">
        <v>119</v>
      </c>
      <c r="C5" s="22" t="n">
        <v>28.9</v>
      </c>
      <c r="D5" s="22" t="n">
        <v>28.9</v>
      </c>
    </row>
    <row r="6" customFormat="false" ht="15" hidden="false" customHeight="true" outlineLevel="0" collapsed="false">
      <c r="A6" s="15" t="s">
        <v>117</v>
      </c>
      <c r="B6" s="15" t="s">
        <v>120</v>
      </c>
      <c r="C6" s="22" t="n">
        <v>11.8</v>
      </c>
      <c r="D6" s="22" t="n">
        <v>11.8</v>
      </c>
    </row>
    <row r="7" customFormat="false" ht="15" hidden="false" customHeight="true" outlineLevel="0" collapsed="false">
      <c r="A7" s="15" t="s">
        <v>117</v>
      </c>
      <c r="B7" s="15" t="s">
        <v>121</v>
      </c>
      <c r="C7" s="22" t="n">
        <v>5</v>
      </c>
      <c r="D7" s="22" t="n">
        <v>5</v>
      </c>
    </row>
    <row r="8" customFormat="false" ht="15" hidden="false" customHeight="true" outlineLevel="0" collapsed="false">
      <c r="A8" s="15" t="s">
        <v>117</v>
      </c>
      <c r="B8" s="15" t="s">
        <v>122</v>
      </c>
      <c r="C8" s="22" t="n">
        <v>7.5</v>
      </c>
      <c r="D8" s="22" t="n">
        <v>7.5</v>
      </c>
    </row>
    <row r="9" customFormat="false" ht="15" hidden="false" customHeight="true" outlineLevel="0" collapsed="false">
      <c r="A9" s="15" t="s">
        <v>117</v>
      </c>
      <c r="B9" s="15" t="s">
        <v>123</v>
      </c>
      <c r="C9" s="22" t="n">
        <v>20.9</v>
      </c>
      <c r="D9" s="22" t="n">
        <v>20.9</v>
      </c>
    </row>
    <row r="10" customFormat="false" ht="15" hidden="false" customHeight="true" outlineLevel="0" collapsed="false">
      <c r="A10" s="15" t="s">
        <v>117</v>
      </c>
      <c r="B10" s="15" t="s">
        <v>124</v>
      </c>
      <c r="C10" s="22" t="n">
        <v>12.7</v>
      </c>
      <c r="D10" s="22" t="n">
        <v>12.7</v>
      </c>
    </row>
    <row r="11" customFormat="false" ht="15" hidden="false" customHeight="true" outlineLevel="0" collapsed="false">
      <c r="A11" s="26" t="s">
        <v>125</v>
      </c>
      <c r="C11" s="20" t="n">
        <f aca="false">SUM(C4:C10)</f>
        <v>123.5</v>
      </c>
      <c r="D11" s="20" t="n">
        <f aca="false">SUM(D4:D10)</f>
        <v>123.5</v>
      </c>
    </row>
    <row r="12" customFormat="false" ht="15" hidden="false" customHeight="true" outlineLevel="0" collapsed="false"/>
    <row r="13" customFormat="false" ht="15" hidden="false" customHeight="false" outlineLevel="0" collapsed="false">
      <c r="A13" s="15" t="s">
        <v>126</v>
      </c>
      <c r="B13" s="15" t="s">
        <v>127</v>
      </c>
      <c r="C13" s="22" t="n">
        <v>19.7</v>
      </c>
      <c r="D13" s="22" t="n">
        <v>19.7</v>
      </c>
    </row>
    <row r="14" customFormat="false" ht="15" hidden="false" customHeight="true" outlineLevel="0" collapsed="false">
      <c r="A14" s="15" t="s">
        <v>126</v>
      </c>
      <c r="B14" s="15" t="s">
        <v>128</v>
      </c>
      <c r="C14" s="22" t="n">
        <v>18.3</v>
      </c>
      <c r="D14" s="22" t="n">
        <v>18.3</v>
      </c>
    </row>
    <row r="15" customFormat="false" ht="15" hidden="false" customHeight="true" outlineLevel="0" collapsed="false">
      <c r="A15" s="15" t="s">
        <v>126</v>
      </c>
      <c r="B15" s="15" t="s">
        <v>129</v>
      </c>
      <c r="C15" s="22" t="n">
        <v>17.8</v>
      </c>
      <c r="D15" s="22" t="n">
        <v>17.8</v>
      </c>
    </row>
    <row r="16" customFormat="false" ht="15" hidden="false" customHeight="true" outlineLevel="0" collapsed="false">
      <c r="A16" s="15" t="s">
        <v>126</v>
      </c>
      <c r="B16" s="15" t="s">
        <v>121</v>
      </c>
      <c r="C16" s="22" t="n">
        <v>2.4</v>
      </c>
      <c r="D16" s="22" t="n">
        <v>2.4</v>
      </c>
    </row>
    <row r="17" customFormat="false" ht="15" hidden="false" customHeight="true" outlineLevel="0" collapsed="false">
      <c r="A17" s="15" t="s">
        <v>126</v>
      </c>
      <c r="B17" s="15" t="s">
        <v>130</v>
      </c>
      <c r="C17" s="22" t="n">
        <v>7.6</v>
      </c>
      <c r="D17" s="22" t="n">
        <v>7.6</v>
      </c>
    </row>
    <row r="18" customFormat="false" ht="15" hidden="false" customHeight="true" outlineLevel="0" collapsed="false">
      <c r="A18" s="15" t="s">
        <v>126</v>
      </c>
      <c r="B18" s="15" t="s">
        <v>131</v>
      </c>
      <c r="C18" s="22" t="n">
        <v>3</v>
      </c>
      <c r="D18" s="22" t="n">
        <v>3</v>
      </c>
    </row>
    <row r="19" customFormat="false" ht="15" hidden="false" customHeight="true" outlineLevel="0" collapsed="false">
      <c r="A19" s="26" t="s">
        <v>132</v>
      </c>
      <c r="C19" s="20" t="n">
        <f aca="false">SUM(C13:C18)</f>
        <v>68.8</v>
      </c>
      <c r="D19" s="20" t="n">
        <f aca="false">SUM(D13:D18)</f>
        <v>68.8</v>
      </c>
    </row>
    <row r="20" customFormat="false" ht="15" hidden="false" customHeight="true" outlineLevel="0" collapsed="false"/>
    <row r="21" customFormat="false" ht="15" hidden="false" customHeight="true" outlineLevel="0" collapsed="false">
      <c r="A21" s="15" t="s">
        <v>133</v>
      </c>
      <c r="B21" s="15" t="s">
        <v>134</v>
      </c>
      <c r="C21" s="22" t="n">
        <v>15.2</v>
      </c>
      <c r="D21" s="22" t="n">
        <v>13.4</v>
      </c>
    </row>
    <row r="22" customFormat="false" ht="15" hidden="false" customHeight="true" outlineLevel="0" collapsed="false">
      <c r="A22" s="15" t="s">
        <v>133</v>
      </c>
      <c r="B22" s="15" t="s">
        <v>120</v>
      </c>
      <c r="C22" s="22" t="n">
        <v>8.5</v>
      </c>
      <c r="D22" s="22" t="n">
        <v>5.9</v>
      </c>
    </row>
    <row r="23" customFormat="false" ht="15" hidden="false" customHeight="true" outlineLevel="0" collapsed="false">
      <c r="A23" s="15" t="s">
        <v>133</v>
      </c>
      <c r="B23" s="15" t="s">
        <v>135</v>
      </c>
      <c r="C23" s="22" t="n">
        <v>13.8</v>
      </c>
      <c r="D23" s="22" t="n">
        <v>12.6</v>
      </c>
    </row>
    <row r="24" customFormat="false" ht="15" hidden="false" customHeight="true" outlineLevel="0" collapsed="false">
      <c r="A24" s="15" t="s">
        <v>133</v>
      </c>
      <c r="B24" s="15" t="s">
        <v>136</v>
      </c>
      <c r="C24" s="22" t="n">
        <v>7.3</v>
      </c>
      <c r="D24" s="22" t="n">
        <v>3.9</v>
      </c>
    </row>
    <row r="25" customFormat="false" ht="15" hidden="false" customHeight="false" outlineLevel="0" collapsed="false">
      <c r="A25" s="15" t="s">
        <v>133</v>
      </c>
      <c r="B25" s="15" t="s">
        <v>137</v>
      </c>
      <c r="C25" s="22" t="n">
        <v>4.1</v>
      </c>
      <c r="D25" s="22" t="n">
        <v>2.2</v>
      </c>
    </row>
    <row r="26" customFormat="false" ht="15" hidden="false" customHeight="true" outlineLevel="0" collapsed="false">
      <c r="A26" s="15" t="s">
        <v>133</v>
      </c>
      <c r="B26" s="15" t="s">
        <v>138</v>
      </c>
      <c r="C26" s="22" t="n">
        <v>12.4</v>
      </c>
      <c r="D26" s="22" t="n">
        <v>11.7</v>
      </c>
    </row>
    <row r="27" customFormat="false" ht="15" hidden="false" customHeight="true" outlineLevel="0" collapsed="false">
      <c r="A27" s="15" t="s">
        <v>133</v>
      </c>
      <c r="B27" s="15" t="s">
        <v>139</v>
      </c>
      <c r="C27" s="22" t="n">
        <v>5.9</v>
      </c>
      <c r="D27" s="22" t="n">
        <v>3.5</v>
      </c>
    </row>
    <row r="28" customFormat="false" ht="15" hidden="false" customHeight="true" outlineLevel="0" collapsed="false">
      <c r="A28" s="26" t="s">
        <v>140</v>
      </c>
      <c r="C28" s="20" t="n">
        <f aca="false">SUM(C21:C27)</f>
        <v>67.2</v>
      </c>
      <c r="D28" s="20" t="n">
        <f aca="false">SUM(D21:D27)</f>
        <v>53.2</v>
      </c>
    </row>
    <row r="29" customFormat="false" ht="15" hidden="false" customHeight="true" outlineLevel="0" collapsed="false"/>
    <row r="30" customFormat="false" ht="15" hidden="false" customHeight="true" outlineLevel="0" collapsed="false">
      <c r="A30" s="15" t="s">
        <v>141</v>
      </c>
      <c r="C30" s="20" t="n">
        <f aca="false">C11+C19+C28</f>
        <v>259.5</v>
      </c>
      <c r="D30" s="20" t="n">
        <f aca="false">D11+D19+D28</f>
        <v>245.5</v>
      </c>
    </row>
    <row r="31" customFormat="false" ht="15" hidden="false" customHeight="true" outlineLevel="0" collapsed="false"/>
    <row r="32" customFormat="false" ht="15" hidden="false" customHeight="true" outlineLevel="0" collapsed="false">
      <c r="A32" s="25" t="s">
        <v>142</v>
      </c>
    </row>
    <row r="33" customFormat="false" ht="15" hidden="false" customHeight="true" outlineLevel="0" collapsed="false"/>
    <row r="34" customFormat="false" ht="15" hidden="false" customHeight="true" outlineLevel="0" collapsed="false"/>
    <row r="36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46"/>
    <col collapsed="false" customWidth="true" hidden="false" outlineLevel="0" max="3" min="3" style="1" width="48"/>
    <col collapsed="false" customWidth="true" hidden="false" outlineLevel="0" max="4" min="4" style="1" width="12"/>
  </cols>
  <sheetData>
    <row r="1" customFormat="false" ht="17.25" hidden="false" customHeight="true" outlineLevel="0" collapsed="false">
      <c r="A1" s="2" t="s">
        <v>143</v>
      </c>
    </row>
    <row r="3" customFormat="false" ht="15" hidden="false" customHeight="true" outlineLevel="0" collapsed="false">
      <c r="A3" s="3" t="s">
        <v>144</v>
      </c>
      <c r="B3" s="3" t="s">
        <v>145</v>
      </c>
      <c r="C3" s="3" t="s">
        <v>146</v>
      </c>
      <c r="D3" s="3" t="s">
        <v>147</v>
      </c>
    </row>
    <row r="4" customFormat="false" ht="15" hidden="false" customHeight="true" outlineLevel="0" collapsed="false">
      <c r="A4" s="15" t="s">
        <v>148</v>
      </c>
      <c r="B4" s="15" t="s">
        <v>149</v>
      </c>
      <c r="C4" s="15" t="s">
        <v>150</v>
      </c>
      <c r="D4" s="15" t="s">
        <v>151</v>
      </c>
    </row>
    <row r="5" customFormat="false" ht="15" hidden="false" customHeight="true" outlineLevel="0" collapsed="false">
      <c r="A5" s="15" t="s">
        <v>38</v>
      </c>
      <c r="B5" s="15" t="s">
        <v>152</v>
      </c>
      <c r="C5" s="15" t="str">
        <f aca="false">FIXED(Zasnova!B12,1,TRUE())&amp;" / "&amp;Zasnova!B13&amp;" = "&amp;FIXED(Zasnova!B14,2,TRUE())</f>
        <v>148.6 / 981 = 0.15</v>
      </c>
      <c r="D5" s="15" t="str">
        <f aca="false">IF(Zasnova!B34="DA","skladno","neskladno")</f>
        <v>skladno</v>
      </c>
    </row>
    <row r="6" customFormat="false" ht="15" hidden="false" customHeight="true" outlineLevel="0" collapsed="false">
      <c r="A6" s="15" t="s">
        <v>153</v>
      </c>
      <c r="B6" s="15" t="s">
        <v>154</v>
      </c>
      <c r="C6" s="15" t="str">
        <f aca="false">FIXED(Zasnova!B28,2,TRUE())&amp;" m (urejen teren), "&amp;FIXED(Zasnova!B30,2,TRUE())&amp;" m (raščen)"</f>
        <v>8.94 m (urejen teren), 8.07 m (raščen)</v>
      </c>
      <c r="D6" s="15" t="str">
        <f aca="false">IF(Zasnova!B33="DA","skladno","neskladno")</f>
        <v>skladno</v>
      </c>
    </row>
    <row r="7" customFormat="false" ht="26.25" hidden="false" customHeight="true" outlineLevel="0" collapsed="false">
      <c r="A7" s="15" t="s">
        <v>155</v>
      </c>
      <c r="B7" s="15" t="s">
        <v>156</v>
      </c>
      <c r="C7" s="15" t="s">
        <v>157</v>
      </c>
      <c r="D7" s="15" t="s">
        <v>151</v>
      </c>
    </row>
    <row r="8" customFormat="false" ht="26.25" hidden="false" customHeight="true" outlineLevel="0" collapsed="false">
      <c r="A8" s="15" t="s">
        <v>158</v>
      </c>
      <c r="B8" s="15" t="s">
        <v>159</v>
      </c>
      <c r="C8" s="15" t="str">
        <f aca="false">"povprečno "&amp;FIXED(Zasnova!B7,1,TRUE())&amp;" × "&amp;FIXED(Zasnova!B4,1,TRUE())&amp;" = 1 : "&amp;FIXED(Zasnova!B8,2,TRUE())&amp;", ni pravokoten"</f>
        <v>povprečno 13.5 × 6.4 = 1 : 2.12, ni pravokoten</v>
      </c>
      <c r="D8" s="15" t="s">
        <v>160</v>
      </c>
    </row>
    <row r="9" customFormat="false" ht="15" hidden="false" customHeight="true" outlineLevel="0" collapsed="false">
      <c r="A9" s="15" t="s">
        <v>161</v>
      </c>
      <c r="B9" s="15" t="s">
        <v>162</v>
      </c>
      <c r="C9" s="15" t="s">
        <v>163</v>
      </c>
      <c r="D9" s="15" t="s">
        <v>151</v>
      </c>
    </row>
    <row r="10" customFormat="false" ht="26.25" hidden="false" customHeight="true" outlineLevel="0" collapsed="false">
      <c r="A10" s="15" t="s">
        <v>164</v>
      </c>
      <c r="B10" s="15" t="s">
        <v>165</v>
      </c>
      <c r="C10" s="15" t="str">
        <f aca="false">Zasnova!B25&amp;"° (spodnja meja), sleme V–Z, temna kritina"</f>
        <v>35° (spodnja meja), sleme V–Z, temna kritina</v>
      </c>
      <c r="D10" s="15" t="s">
        <v>151</v>
      </c>
    </row>
    <row r="11" customFormat="false" ht="15" hidden="false" customHeight="true" outlineLevel="0" collapsed="false">
      <c r="A11" s="15" t="s">
        <v>166</v>
      </c>
      <c r="B11" s="15" t="s">
        <v>167</v>
      </c>
      <c r="C11" s="15" t="s">
        <v>168</v>
      </c>
      <c r="D11" s="15" t="s">
        <v>160</v>
      </c>
    </row>
    <row r="12" customFormat="false" ht="15" hidden="false" customHeight="true" outlineLevel="0" collapsed="false">
      <c r="A12" s="15" t="s">
        <v>169</v>
      </c>
      <c r="B12" s="15" t="s">
        <v>170</v>
      </c>
      <c r="C12" s="15" t="str">
        <f aca="false">FIXED(Zasnova!B40,2,TRUE())&amp;" m in "&amp;FIXED(Zasnova!B41,2,TRUE())&amp;" m, kamnita obloga, polica zasajena"</f>
        <v>1.32 m in 1.05 m, kamnita obloga, polica zasajena</v>
      </c>
      <c r="D12" s="15" t="str">
        <f aca="false">IF(MAX(Zasnova!B40,Zasnova!B41)&lt;=1.5,"skladno","preveriti")</f>
        <v>skladno</v>
      </c>
    </row>
    <row r="13" customFormat="false" ht="15" hidden="false" customHeight="true" outlineLevel="0" collapsed="false">
      <c r="A13" s="15" t="s">
        <v>171</v>
      </c>
      <c r="B13" s="15" t="s">
        <v>172</v>
      </c>
      <c r="C13" s="15" t="str">
        <f aca="false">FIXED(Zasnova!B54,1,TRUE())&amp;" m od meje"</f>
        <v>0.6 m od meje</v>
      </c>
      <c r="D13" s="15" t="s">
        <v>151</v>
      </c>
    </row>
    <row r="14" customFormat="false" ht="26.25" hidden="false" customHeight="true" outlineLevel="0" collapsed="false">
      <c r="A14" s="15" t="s">
        <v>173</v>
      </c>
      <c r="B14" s="15" t="s">
        <v>174</v>
      </c>
      <c r="C14" s="15" t="s">
        <v>175</v>
      </c>
      <c r="D14" s="15" t="s">
        <v>160</v>
      </c>
    </row>
    <row r="15" customFormat="false" ht="15" hidden="false" customHeight="true" outlineLevel="0" collapsed="false">
      <c r="A15" s="15" t="s">
        <v>176</v>
      </c>
      <c r="B15" s="15" t="s">
        <v>177</v>
      </c>
      <c r="C15" s="15" t="str">
        <f aca="false">"≈ "&amp;FIXED(Zasnova!B38,2,TRUE())</f>
        <v>≈ 0.72</v>
      </c>
      <c r="D15" s="15" t="s">
        <v>151</v>
      </c>
    </row>
    <row r="16" customFormat="false" ht="15" hidden="false" customHeight="true" outlineLevel="0" collapsed="false">
      <c r="A16" s="15" t="s">
        <v>178</v>
      </c>
      <c r="B16" s="15" t="s">
        <v>179</v>
      </c>
      <c r="C16" s="15" t="str">
        <f aca="false">FIXED(Zasnova!B53,2,TRUE())&amp;" m od napuščev, klet 4,30 m"</f>
        <v>4.00 m od napuščev, klet 4,30 m</v>
      </c>
      <c r="D16" s="15" t="s">
        <v>151</v>
      </c>
    </row>
    <row r="17" customFormat="false" ht="26.85" hidden="false" customHeight="false" outlineLevel="0" collapsed="false">
      <c r="A17" s="15" t="s">
        <v>180</v>
      </c>
      <c r="B17" s="15" t="s">
        <v>181</v>
      </c>
      <c r="C17" s="15" t="s">
        <v>182</v>
      </c>
      <c r="D17" s="15" t="s">
        <v>160</v>
      </c>
    </row>
    <row r="18" customFormat="false" ht="15" hidden="false" customHeight="false" outlineLevel="0" collapsed="false">
      <c r="A18" s="15" t="s">
        <v>183</v>
      </c>
      <c r="B18" s="15" t="s">
        <v>184</v>
      </c>
      <c r="C18" s="15" t="s">
        <v>185</v>
      </c>
      <c r="D18" s="15" t="s">
        <v>160</v>
      </c>
    </row>
    <row r="19" customFormat="false" ht="15" hidden="false" customHeight="false" outlineLevel="0" collapsed="false">
      <c r="A19" s="15" t="s">
        <v>186</v>
      </c>
      <c r="B19" s="15" t="s">
        <v>187</v>
      </c>
      <c r="C19" s="15" t="str">
        <f aca="false">"3 mesta in obračališče, "&amp;Zasnova!B36&amp;" m²"</f>
        <v>3 mesta in obračališče, 96 m²</v>
      </c>
      <c r="D19" s="15" t="s">
        <v>151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6"/>
    <col collapsed="false" customWidth="true" hidden="false" outlineLevel="0" max="3" min="3" style="1" width="90"/>
    <col collapsed="false" customWidth="true" hidden="false" outlineLevel="0" max="4" min="4" style="1" width="14"/>
  </cols>
  <sheetData>
    <row r="1" customFormat="false" ht="17.25" hidden="false" customHeight="true" outlineLevel="0" collapsed="false">
      <c r="A1" s="2" t="s">
        <v>188</v>
      </c>
    </row>
    <row r="3" customFormat="false" ht="15" hidden="false" customHeight="true" outlineLevel="0" collapsed="false">
      <c r="A3" s="3" t="s">
        <v>189</v>
      </c>
      <c r="B3" s="3" t="s">
        <v>190</v>
      </c>
      <c r="C3" s="3" t="s">
        <v>191</v>
      </c>
      <c r="D3" s="3" t="s">
        <v>192</v>
      </c>
    </row>
    <row r="4" customFormat="false" ht="26.25" hidden="false" customHeight="true" outlineLevel="0" collapsed="false">
      <c r="A4" s="15" t="s">
        <v>193</v>
      </c>
      <c r="B4" s="15" t="s">
        <v>194</v>
      </c>
      <c r="C4" s="15" t="s">
        <v>195</v>
      </c>
      <c r="D4" s="15" t="s">
        <v>196</v>
      </c>
    </row>
    <row r="5" customFormat="false" ht="26.25" hidden="false" customHeight="true" outlineLevel="0" collapsed="false">
      <c r="A5" s="15" t="s">
        <v>193</v>
      </c>
      <c r="B5" s="15" t="s">
        <v>197</v>
      </c>
      <c r="C5" s="15" t="s">
        <v>198</v>
      </c>
      <c r="D5" s="15" t="s">
        <v>196</v>
      </c>
    </row>
    <row r="6" customFormat="false" ht="26.25" hidden="false" customHeight="true" outlineLevel="0" collapsed="false">
      <c r="A6" s="15" t="s">
        <v>193</v>
      </c>
      <c r="B6" s="15" t="s">
        <v>199</v>
      </c>
      <c r="C6" s="15" t="s">
        <v>200</v>
      </c>
      <c r="D6" s="15" t="s">
        <v>196</v>
      </c>
    </row>
    <row r="7" customFormat="false" ht="15" hidden="false" customHeight="true" outlineLevel="0" collapsed="false">
      <c r="A7" s="15" t="s">
        <v>193</v>
      </c>
      <c r="B7" s="15" t="s">
        <v>201</v>
      </c>
      <c r="C7" s="15" t="s">
        <v>202</v>
      </c>
      <c r="D7" s="15" t="s">
        <v>196</v>
      </c>
    </row>
    <row r="8" customFormat="false" ht="26.25" hidden="false" customHeight="true" outlineLevel="0" collapsed="false">
      <c r="A8" s="15" t="s">
        <v>193</v>
      </c>
      <c r="B8" s="15" t="s">
        <v>203</v>
      </c>
      <c r="C8" s="15" t="s">
        <v>204</v>
      </c>
      <c r="D8" s="15" t="s">
        <v>196</v>
      </c>
    </row>
    <row r="9" customFormat="false" ht="26.25" hidden="false" customHeight="true" outlineLevel="0" collapsed="false">
      <c r="A9" s="15" t="s">
        <v>193</v>
      </c>
      <c r="B9" s="15" t="s">
        <v>117</v>
      </c>
      <c r="C9" s="15" t="s">
        <v>205</v>
      </c>
      <c r="D9" s="15" t="s">
        <v>196</v>
      </c>
    </row>
    <row r="10" customFormat="false" ht="15" hidden="false" customHeight="true" outlineLevel="0" collapsed="false">
      <c r="A10" s="15" t="s">
        <v>193</v>
      </c>
      <c r="B10" s="15" t="s">
        <v>206</v>
      </c>
      <c r="C10" s="15" t="s">
        <v>207</v>
      </c>
      <c r="D10" s="15" t="s">
        <v>196</v>
      </c>
    </row>
    <row r="11" customFormat="false" ht="26.25" hidden="false" customHeight="true" outlineLevel="0" collapsed="false">
      <c r="A11" s="15" t="s">
        <v>193</v>
      </c>
      <c r="B11" s="15" t="s">
        <v>208</v>
      </c>
      <c r="C11" s="15" t="s">
        <v>209</v>
      </c>
      <c r="D11" s="15" t="s">
        <v>196</v>
      </c>
    </row>
    <row r="12" customFormat="false" ht="15" hidden="false" customHeight="true" outlineLevel="0" collapsed="false">
      <c r="A12" s="15" t="s">
        <v>193</v>
      </c>
      <c r="B12" s="15" t="s">
        <v>210</v>
      </c>
      <c r="C12" s="15" t="s">
        <v>211</v>
      </c>
      <c r="D12" s="15" t="s">
        <v>196</v>
      </c>
    </row>
    <row r="13" customFormat="false" ht="26.25" hidden="false" customHeight="true" outlineLevel="0" collapsed="false">
      <c r="A13" s="15" t="s">
        <v>193</v>
      </c>
      <c r="B13" s="15" t="s">
        <v>212</v>
      </c>
      <c r="C13" s="15" t="s">
        <v>213</v>
      </c>
      <c r="D13" s="15" t="s">
        <v>196</v>
      </c>
    </row>
    <row r="14" customFormat="false" ht="26.25" hidden="false" customHeight="true" outlineLevel="0" collapsed="false">
      <c r="A14" s="15" t="s">
        <v>193</v>
      </c>
      <c r="B14" s="15" t="s">
        <v>214</v>
      </c>
      <c r="C14" s="15" t="s">
        <v>215</v>
      </c>
      <c r="D14" s="15" t="s">
        <v>196</v>
      </c>
    </row>
    <row r="15" customFormat="false" ht="15" hidden="false" customHeight="true" outlineLevel="0" collapsed="false">
      <c r="A15" s="15" t="s">
        <v>193</v>
      </c>
      <c r="B15" s="15" t="s">
        <v>216</v>
      </c>
      <c r="C15" s="15" t="s">
        <v>217</v>
      </c>
      <c r="D15" s="15" t="s">
        <v>196</v>
      </c>
    </row>
    <row r="16" customFormat="false" ht="26.25" hidden="false" customHeight="true" outlineLevel="0" collapsed="false">
      <c r="A16" s="15" t="s">
        <v>218</v>
      </c>
      <c r="B16" s="15" t="s">
        <v>219</v>
      </c>
      <c r="C16" s="15" t="s">
        <v>220</v>
      </c>
      <c r="D16" s="15" t="s">
        <v>221</v>
      </c>
    </row>
    <row r="17" customFormat="false" ht="26.25" hidden="false" customHeight="true" outlineLevel="0" collapsed="false">
      <c r="A17" s="15" t="s">
        <v>218</v>
      </c>
      <c r="B17" s="15" t="s">
        <v>222</v>
      </c>
      <c r="C17" s="15" t="s">
        <v>223</v>
      </c>
      <c r="D17" s="15" t="s">
        <v>196</v>
      </c>
    </row>
    <row r="18" customFormat="false" ht="15" hidden="false" customHeight="true" outlineLevel="0" collapsed="false">
      <c r="A18" s="15" t="s">
        <v>218</v>
      </c>
      <c r="B18" s="15" t="s">
        <v>224</v>
      </c>
      <c r="C18" s="15" t="s">
        <v>225</v>
      </c>
      <c r="D18" s="15" t="s">
        <v>221</v>
      </c>
    </row>
    <row r="19" customFormat="false" ht="15" hidden="false" customHeight="true" outlineLevel="0" collapsed="false">
      <c r="A19" s="15" t="s">
        <v>226</v>
      </c>
      <c r="B19" s="15" t="s">
        <v>227</v>
      </c>
      <c r="C19" s="15" t="s">
        <v>228</v>
      </c>
      <c r="D19" s="15" t="s">
        <v>221</v>
      </c>
    </row>
    <row r="20" customFormat="false" ht="15" hidden="false" customHeight="true" outlineLevel="0" collapsed="false">
      <c r="A20" s="15" t="s">
        <v>229</v>
      </c>
      <c r="B20" s="15" t="s">
        <v>230</v>
      </c>
      <c r="C20" s="15" t="s">
        <v>231</v>
      </c>
      <c r="D20" s="15" t="s">
        <v>232</v>
      </c>
    </row>
    <row r="21" customFormat="false" ht="15" hidden="false" customHeight="true" outlineLevel="0" collapsed="false">
      <c r="A21" s="15" t="s">
        <v>229</v>
      </c>
      <c r="B21" s="15" t="s">
        <v>233</v>
      </c>
      <c r="C21" s="15" t="s">
        <v>234</v>
      </c>
      <c r="D21" s="15" t="s">
        <v>196</v>
      </c>
    </row>
    <row r="22" customFormat="false" ht="15" hidden="false" customHeight="true" outlineLevel="0" collapsed="false">
      <c r="A22" s="15" t="s">
        <v>229</v>
      </c>
      <c r="B22" s="15" t="s">
        <v>235</v>
      </c>
      <c r="C22" s="15" t="s">
        <v>236</v>
      </c>
      <c r="D22" s="15" t="s">
        <v>237</v>
      </c>
    </row>
    <row r="23" customFormat="false" ht="15" hidden="false" customHeight="false" outlineLevel="0" collapsed="false">
      <c r="A23" s="15" t="s">
        <v>229</v>
      </c>
      <c r="B23" s="15" t="s">
        <v>238</v>
      </c>
      <c r="C23" s="15" t="s">
        <v>239</v>
      </c>
      <c r="D23" s="15" t="s">
        <v>196</v>
      </c>
    </row>
    <row r="24" customFormat="false" ht="15" hidden="false" customHeight="false" outlineLevel="0" collapsed="false">
      <c r="A24" s="15" t="s">
        <v>229</v>
      </c>
      <c r="B24" s="15" t="s">
        <v>240</v>
      </c>
      <c r="C24" s="15" t="s">
        <v>241</v>
      </c>
      <c r="D24" s="15" t="s">
        <v>196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52"/>
    <col collapsed="false" customWidth="true" hidden="false" outlineLevel="0" max="3" min="3" style="1" width="80"/>
  </cols>
  <sheetData>
    <row r="1" customFormat="false" ht="17.25" hidden="false" customHeight="true" outlineLevel="0" collapsed="false">
      <c r="A1" s="2" t="s">
        <v>242</v>
      </c>
    </row>
    <row r="3" customFormat="false" ht="15" hidden="false" customHeight="true" outlineLevel="0" collapsed="false">
      <c r="A3" s="17" t="s">
        <v>243</v>
      </c>
      <c r="B3" s="17" t="s">
        <v>244</v>
      </c>
      <c r="C3" s="17" t="s">
        <v>245</v>
      </c>
    </row>
    <row r="4" customFormat="false" ht="15" hidden="false" customHeight="true" outlineLevel="0" collapsed="false">
      <c r="A4" s="17" t="s">
        <v>243</v>
      </c>
      <c r="B4" s="17" t="s">
        <v>246</v>
      </c>
      <c r="C4" s="17" t="s">
        <v>247</v>
      </c>
    </row>
    <row r="5" customFormat="false" ht="15" hidden="false" customHeight="true" outlineLevel="0" collapsed="false">
      <c r="A5" s="17" t="s">
        <v>243</v>
      </c>
      <c r="B5" s="17" t="s">
        <v>248</v>
      </c>
      <c r="C5" s="17" t="s">
        <v>249</v>
      </c>
    </row>
    <row r="6" customFormat="false" ht="15" hidden="false" customHeight="true" outlineLevel="0" collapsed="false">
      <c r="A6" s="4" t="s">
        <v>250</v>
      </c>
      <c r="B6" s="4" t="s">
        <v>251</v>
      </c>
      <c r="C6" s="4" t="s">
        <v>252</v>
      </c>
    </row>
    <row r="7" customFormat="false" ht="15" hidden="false" customHeight="true" outlineLevel="0" collapsed="false">
      <c r="A7" s="4" t="s">
        <v>250</v>
      </c>
      <c r="B7" s="4" t="s">
        <v>253</v>
      </c>
      <c r="C7" s="4" t="s">
        <v>254</v>
      </c>
    </row>
    <row r="8" customFormat="false" ht="15" hidden="false" customHeight="true" outlineLevel="0" collapsed="false">
      <c r="A8" s="4" t="s">
        <v>250</v>
      </c>
      <c r="B8" s="4" t="s">
        <v>255</v>
      </c>
      <c r="C8" s="4" t="s">
        <v>256</v>
      </c>
    </row>
    <row r="9" customFormat="false" ht="15" hidden="false" customHeight="true" outlineLevel="0" collapsed="false">
      <c r="A9" s="4" t="s">
        <v>250</v>
      </c>
      <c r="B9" s="4" t="s">
        <v>257</v>
      </c>
      <c r="C9" s="4" t="s">
        <v>258</v>
      </c>
    </row>
    <row r="10" customFormat="false" ht="26.25" hidden="false" customHeight="true" outlineLevel="0" collapsed="false">
      <c r="A10" s="4" t="s">
        <v>250</v>
      </c>
      <c r="B10" s="4" t="s">
        <v>259</v>
      </c>
      <c r="C10" s="4" t="s">
        <v>260</v>
      </c>
    </row>
    <row r="11" customFormat="false" ht="26.25" hidden="false" customHeight="true" outlineLevel="0" collapsed="false">
      <c r="A11" s="17" t="s">
        <v>243</v>
      </c>
      <c r="B11" s="17" t="s">
        <v>261</v>
      </c>
      <c r="C11" s="17" t="s">
        <v>262</v>
      </c>
    </row>
    <row r="12" customFormat="false" ht="15" hidden="false" customHeight="true" outlineLevel="0" collapsed="false"/>
    <row r="13" customFormat="false" ht="15" hidden="false" customHeight="true" outlineLevel="0" collapsed="false"/>
    <row r="14" customFormat="false" ht="15" hidden="false" customHeight="true" outlineLevel="0" collapsed="false"/>
    <row r="15" customFormat="false" ht="26.25" hidden="false" customHeight="true" outlineLevel="0" collapsed="false"/>
    <row r="16" customFormat="false" ht="15" hidden="false" customHeight="true" outlineLevel="0" collapsed="false"/>
    <row r="17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3" min="2" style="1" width="44"/>
  </cols>
  <sheetData>
    <row r="1" customFormat="false" ht="17.25" hidden="false" customHeight="true" outlineLevel="0" collapsed="false">
      <c r="A1" s="2" t="s">
        <v>263</v>
      </c>
    </row>
    <row r="3" customFormat="false" ht="15" hidden="false" customHeight="true" outlineLevel="0" collapsed="false">
      <c r="A3" s="3" t="s">
        <v>264</v>
      </c>
      <c r="B3" s="3" t="s">
        <v>265</v>
      </c>
      <c r="C3" s="3" t="s">
        <v>266</v>
      </c>
    </row>
    <row r="4" customFormat="false" ht="15" hidden="false" customHeight="true" outlineLevel="0" collapsed="false">
      <c r="A4" s="15" t="s">
        <v>267</v>
      </c>
      <c r="B4" s="15" t="s">
        <v>268</v>
      </c>
      <c r="C4" s="15" t="s">
        <v>268</v>
      </c>
    </row>
    <row r="5" customFormat="false" ht="15" hidden="false" customHeight="true" outlineLevel="0" collapsed="false">
      <c r="A5" s="15" t="s">
        <v>29</v>
      </c>
      <c r="B5" s="15" t="s">
        <v>269</v>
      </c>
      <c r="C5" s="15" t="str">
        <f aca="false">"trapez, "&amp;FIXED(Zasnova!B5,1,TRUE())&amp;" in "&amp;FIXED(Zasnova!B6,1,TRUE())&amp;" × "&amp;FIXED(Zasnova!B4,1,TRUE())&amp;" m"</f>
        <v>trapez, 17.4 in 9.7 × 6.4 m</v>
      </c>
    </row>
    <row r="6" customFormat="false" ht="15" hidden="false" customHeight="true" outlineLevel="0" collapsed="false">
      <c r="A6" s="15" t="s">
        <v>34</v>
      </c>
      <c r="B6" s="15" t="s">
        <v>270</v>
      </c>
      <c r="C6" s="15" t="str">
        <f aca="false">FIXED(Zasnova!B12,0,TRUE())&amp;" m², sega "&amp;FIXED(Zasnova!B10,1,TRUE())&amp;" m pred hišo"</f>
        <v>149 m², sega 3.2 m pred hišo</v>
      </c>
    </row>
    <row r="7" customFormat="false" ht="15" hidden="false" customHeight="true" outlineLevel="0" collapsed="false">
      <c r="A7" s="15" t="s">
        <v>271</v>
      </c>
      <c r="B7" s="15" t="s">
        <v>272</v>
      </c>
      <c r="C7" s="15" t="str">
        <f aca="false">FIXED(Prostori!D30,0,TRUE())&amp;" m², od tega "&amp;FIXED(Prostori!D11,0,TRUE())&amp;" m² kleti"</f>
        <v>246 m², od tega 124 m² kleti</v>
      </c>
    </row>
    <row r="8" customFormat="false" ht="15" hidden="false" customHeight="true" outlineLevel="0" collapsed="false">
      <c r="A8" s="15" t="s">
        <v>117</v>
      </c>
      <c r="B8" s="15" t="s">
        <v>273</v>
      </c>
      <c r="C8" s="15" t="str">
        <f aca="false">FIXED(Zasnova!B20,2,TRUE())&amp;" m, svetla višina ≈ 2,50 m"</f>
        <v>594.30 m, svetla višina ≈ 2,50 m</v>
      </c>
    </row>
    <row r="9" customFormat="false" ht="15" hidden="false" customHeight="true" outlineLevel="0" collapsed="false">
      <c r="A9" s="15" t="s">
        <v>126</v>
      </c>
      <c r="B9" s="15" t="s">
        <v>274</v>
      </c>
      <c r="C9" s="15" t="str">
        <f aca="false">FIXED(Zasnova!B18,2,TRUE())&amp;" m"</f>
        <v>597.10 m</v>
      </c>
    </row>
    <row r="10" customFormat="false" ht="26.25" hidden="false" customHeight="true" outlineLevel="0" collapsed="false">
      <c r="A10" s="15" t="s">
        <v>133</v>
      </c>
      <c r="B10" s="15" t="s">
        <v>275</v>
      </c>
      <c r="C10" s="15" t="str">
        <f aca="false">FIXED(Zasnova!B16,2,TRUE())&amp;" m"</f>
        <v>600.00 m</v>
      </c>
    </row>
    <row r="11" customFormat="false" ht="15" hidden="false" customHeight="true" outlineLevel="0" collapsed="false">
      <c r="A11" s="15" t="s">
        <v>276</v>
      </c>
      <c r="B11" s="15" t="s">
        <v>277</v>
      </c>
      <c r="C11" s="15" t="str">
        <f aca="false">FIXED(Zasnova!B26,2,TRUE())&amp;" m"</f>
        <v>603.19 m</v>
      </c>
    </row>
    <row r="12" customFormat="false" ht="15" hidden="false" customHeight="true" outlineLevel="0" collapsed="false">
      <c r="A12" s="15" t="s">
        <v>278</v>
      </c>
      <c r="B12" s="15" t="s">
        <v>279</v>
      </c>
      <c r="C12" s="15" t="str">
        <f aca="false">"v mansardo, "&amp;FIXED(Zasnova!B16,2,TRUE())&amp;" m"</f>
        <v>v mansardo, 600.00 m</v>
      </c>
    </row>
    <row r="13" customFormat="false" ht="15" hidden="false" customHeight="true" outlineLevel="0" collapsed="false">
      <c r="A13" s="15" t="s">
        <v>186</v>
      </c>
      <c r="B13" s="15" t="s">
        <v>280</v>
      </c>
      <c r="C13" s="15" t="str">
        <f aca="false">"3 mesta in obračališče, "&amp;Zasnova!B36&amp;" m²"</f>
        <v>3 mesta in obračališče, 96 m²</v>
      </c>
    </row>
    <row r="14" customFormat="false" ht="15" hidden="false" customHeight="true" outlineLevel="0" collapsed="false">
      <c r="A14" s="15" t="s">
        <v>281</v>
      </c>
      <c r="B14" s="15" t="s">
        <v>282</v>
      </c>
      <c r="C14" s="15" t="str">
        <f aca="false">FIXED(Zasnova!B22,2,TRUE())&amp;" m, ravnih "&amp;Zasnova!B35&amp;" m²"</f>
        <v>594.25 m, ravnih 424 m²</v>
      </c>
    </row>
    <row r="15" customFormat="false" ht="26.85" hidden="false" customHeight="false" outlineLevel="0" collapsed="false">
      <c r="A15" s="15" t="s">
        <v>169</v>
      </c>
      <c r="B15" s="15" t="s">
        <v>283</v>
      </c>
      <c r="C15" s="15" t="str">
        <f aca="false">"škarpa ob južni meji, dve stopnji, "&amp;FIXED(Zasnova!B40,2,TRUE())&amp;" + "&amp;FIXED(Zasnova!B41,2,TRUE())&amp;" m"</f>
        <v>škarpa ob južni meji, dve stopnji, 1.32 + 1.05 m</v>
      </c>
    </row>
    <row r="16" customFormat="false" ht="15" hidden="false" customHeight="false" outlineLevel="0" collapsed="false">
      <c r="A16" s="15" t="s">
        <v>284</v>
      </c>
      <c r="B16" s="15" t="s">
        <v>285</v>
      </c>
      <c r="C16" s="15" t="str">
        <f aca="false">Zasnova!B50&amp;" / "&amp;Zasnova!B51&amp;" m³"</f>
        <v>520 / 438 m³</v>
      </c>
    </row>
    <row r="17" customFormat="false" ht="15" hidden="false" customHeight="false" outlineLevel="0" collapsed="false">
      <c r="A17" s="15" t="s">
        <v>227</v>
      </c>
      <c r="B17" s="15" t="s">
        <v>286</v>
      </c>
      <c r="C17" s="15" t="s">
        <v>286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2026-11-02T12:55:03Z</dcterms:created>
  <dc:creator>openpyxl</dc:creator>
  <dc:description/>
  <dc:language>en-US</dc:language>
  <cp:lastModifiedBy/>
  <dcterms:modified xsi:type="dcterms:W3CDTF">2026-11-02T14:35:55Z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